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9200" windowHeight="7070" tabRatio="947" activeTab="1"/>
  </bookViews>
  <sheets>
    <sheet name="Fato gerador" sheetId="62" r:id="rId1"/>
    <sheet name="Acumulado" sheetId="64" r:id="rId2"/>
    <sheet name="Pagamentos" sheetId="65" r:id="rId3"/>
    <sheet name="PROPOSTA" sheetId="46" r:id="rId4"/>
    <sheet name="ENCARREGADO" sheetId="33" r:id="rId5"/>
    <sheet name="SERVENTE" sheetId="58" r:id="rId6"/>
  </sheets>
  <externalReferences>
    <externalReference r:id="rId7"/>
  </externalReferences>
  <definedNames>
    <definedName name="_xlnm.Print_Area" localSheetId="4">ENCARREGADO!$A$1:$D$163</definedName>
    <definedName name="_xlnm.Print_Area" localSheetId="3">PROPOSTA!$A$1:$F$36</definedName>
    <definedName name="_xlnm.Print_Area" localSheetId="5">SERVENTE!$A$1:$D$165</definedName>
  </definedNames>
  <calcPr calcId="144525"/>
</workbook>
</file>

<file path=xl/sharedStrings.xml><?xml version="1.0" encoding="utf-8"?>
<sst xmlns="http://schemas.openxmlformats.org/spreadsheetml/2006/main" count="506" uniqueCount="204">
  <si>
    <t>Mês</t>
  </si>
  <si>
    <t>Nome</t>
  </si>
  <si>
    <t>Posto</t>
  </si>
  <si>
    <t>13º salário</t>
  </si>
  <si>
    <t>Férias</t>
  </si>
  <si>
    <t>Adicional de férias</t>
  </si>
  <si>
    <t>API</t>
  </si>
  <si>
    <t>FGTS sobre API</t>
  </si>
  <si>
    <t>Multa FGTS e contribuições sociais sobre API</t>
  </si>
  <si>
    <t>APT</t>
  </si>
  <si>
    <t>GPS, FGTS e contribuições sobre APT</t>
  </si>
  <si>
    <t>Multa FGTS e contribuições sobre APT</t>
  </si>
  <si>
    <t>Substituto Férias</t>
  </si>
  <si>
    <t>Substituto Ausências legais</t>
  </si>
  <si>
    <t>Substituto licença-paternidade</t>
  </si>
  <si>
    <t>Substituto acidente de trabalho</t>
  </si>
  <si>
    <t>Substituto licença maternidade</t>
  </si>
  <si>
    <t>Total</t>
  </si>
  <si>
    <t>Janeiro</t>
  </si>
  <si>
    <t>Maria</t>
  </si>
  <si>
    <t>Encarregado</t>
  </si>
  <si>
    <t>José</t>
  </si>
  <si>
    <t>Servente</t>
  </si>
  <si>
    <t>Fevereiro</t>
  </si>
  <si>
    <t xml:space="preserve">ANEXO  IX  </t>
  </si>
  <si>
    <t>MODELO DE PROPOSTA</t>
  </si>
  <si>
    <t xml:space="preserve">IDENTIFICAÇÃO </t>
  </si>
  <si>
    <t xml:space="preserve">RAZÃO SOCIAL: </t>
  </si>
  <si>
    <t>Empresa Teste</t>
  </si>
  <si>
    <t xml:space="preserve">ENDEREÇO: </t>
  </si>
  <si>
    <t>TELEFONE:</t>
  </si>
  <si>
    <t>EMAIL:</t>
  </si>
  <si>
    <t>TIPO DE ÁREA/POSTO</t>
  </si>
  <si>
    <t>DESCRIÇÃO COMPLETA</t>
  </si>
  <si>
    <t>QUANTIDADE MESES</t>
  </si>
  <si>
    <t>PREÇOS UNITÁRIOS</t>
  </si>
  <si>
    <t>PREÇOS MENSAIS</t>
  </si>
  <si>
    <t>PREÇOS GLOBAIS</t>
  </si>
  <si>
    <t>TOTAL</t>
  </si>
  <si>
    <t xml:space="preserve"> </t>
  </si>
  <si>
    <t>CUSTOS DECORRENTES DA EXECUÇÃO CONTRATUAL</t>
  </si>
  <si>
    <t>INDICAÇÃO DOS SINDICATOS, ACORDOS, CONVENÇÕES OU DISSÍDIOS COLETIVOS DE TRABALHO</t>
  </si>
  <si>
    <t>PRODUTIVIDADE ADOTADA</t>
  </si>
  <si>
    <t>QUANTIDADE DE PESSOAL</t>
  </si>
  <si>
    <t>Função</t>
  </si>
  <si>
    <t>Quantidade</t>
  </si>
  <si>
    <t>RELAÇÃO DOS MATERIAIS E EQUIPAMENTOS</t>
  </si>
  <si>
    <t>Material</t>
  </si>
  <si>
    <t>Especificação</t>
  </si>
  <si>
    <t>CONFORME PLANILHA DE INSUMOS DO TERMO DE REFERENCIA</t>
  </si>
  <si>
    <t>OUTRAS INFORMAÇÕES IMPORTANTES</t>
  </si>
  <si>
    <t>ANEXO IX - A</t>
  </si>
  <si>
    <t>PREGÃO ELETRÔNICO Nº</t>
  </si>
  <si>
    <t>MODELO DE PLANILHA DE CUSTOS E FORMAÇÃO DE PREÇOS</t>
  </si>
  <si>
    <t>Licitação nº                                                                              CONTRATAÇÃO EMERGENCIAL</t>
  </si>
  <si>
    <t>Dia 07/01/2021 até às 19:00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</si>
  <si>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</si>
  <si>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</si>
  <si>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</si>
  <si>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</si>
  <si>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</si>
  <si>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RECIFE/PE</t>
  </si>
  <si>
    <t>C</t>
  </si>
  <si>
    <t>Ano do Acordo, Convenção ou Dissídio Coletivo</t>
  </si>
  <si>
    <t>D</t>
  </si>
  <si>
    <t>Nº de DIAS de execução contratual</t>
  </si>
  <si>
    <t>IDENTIFICAÇÃO DOS SERVIÇOS</t>
  </si>
  <si>
    <t>TIPO DE SERVIÇO</t>
  </si>
  <si>
    <t xml:space="preserve">Unidade de Medida </t>
  </si>
  <si>
    <t xml:space="preserve">Quantidade total a contratar ( em função da unidade de medida) </t>
  </si>
  <si>
    <t>1 encarregado para 30 serventes</t>
  </si>
  <si>
    <r>
      <rPr>
        <b/>
        <sz val="10"/>
        <color indexed="8"/>
        <rFont val="Calibri"/>
        <charset val="134"/>
      </rPr>
      <t>Nota 1</t>
    </r>
    <r>
      <rPr>
        <sz val="10"/>
        <color indexed="8"/>
        <rFont val="Calibri"/>
        <charset val="134"/>
      </rPr>
      <t>:  esta tabela poderá ser adaptada às características do serviço contratado, inclusive no que concerne às rubricas e suas respectivas provisões e/ou estimativas, desde que haja justificativa.</t>
    </r>
  </si>
  <si>
    <r>
      <rPr>
        <b/>
        <sz val="10"/>
        <color indexed="8"/>
        <rFont val="Calibri"/>
        <charset val="134"/>
      </rPr>
      <t>Nota 2</t>
    </r>
    <r>
      <rPr>
        <sz val="10"/>
        <color indexed="8"/>
        <rFont val="Calibri"/>
        <charset val="134"/>
      </rPr>
      <t>: As provisões constantes desta planilha poderão ser desnecessárias quando se tratar de determinados serviços que prescindam de dedicação exclusiva dos trabalhadores da contratada para com a Administração.</t>
    </r>
  </si>
  <si>
    <t>1. MÓDULOS</t>
  </si>
  <si>
    <t>Mão de Obra.</t>
  </si>
  <si>
    <t>Mão de Obra vinculada à execução contratual.</t>
  </si>
  <si>
    <t>Dados complementares para composição de custos referentes à mão de obra</t>
  </si>
  <si>
    <t>Tipo de serviço (mesmo serviço com características distintas)</t>
  </si>
  <si>
    <t>Serviço de Limpeza</t>
  </si>
  <si>
    <t>Classificação Brasileira de Ocupações - CBO</t>
  </si>
  <si>
    <t>4101-05</t>
  </si>
  <si>
    <t>Salário Normativo da Categoria Profissional</t>
  </si>
  <si>
    <t>Categoria profissional (vinculada à execução contratual)</t>
  </si>
  <si>
    <t>Encarregado de Limpeza</t>
  </si>
  <si>
    <t>Data base da categoria (dia/mês/ano)</t>
  </si>
  <si>
    <t>Nota 1: Deverá ser elaborado um quadro para cada tipo de serviço.</t>
  </si>
  <si>
    <r>
      <rPr>
        <sz val="10"/>
        <color indexed="8"/>
        <rFont val="Calibri"/>
        <charset val="134"/>
        <scheme val="minor"/>
      </rPr>
      <t xml:space="preserve">Nota 2: A planilha será calculada considerando o </t>
    </r>
    <r>
      <rPr>
        <b/>
        <sz val="10"/>
        <color indexed="8"/>
        <rFont val="Calibri"/>
        <charset val="134"/>
      </rPr>
      <t>valor mensal</t>
    </r>
    <r>
      <rPr>
        <sz val="10"/>
        <color indexed="8"/>
        <rFont val="Calibri"/>
        <charset val="134"/>
      </rPr>
      <t xml:space="preserve"> do empregado.</t>
    </r>
  </si>
  <si>
    <t>MÓDULO 1 : Composição da Remuneração.</t>
  </si>
  <si>
    <t>Composição da Remuneração</t>
  </si>
  <si>
    <t>Valor (R$)</t>
  </si>
  <si>
    <t>Salário Base</t>
  </si>
  <si>
    <t>Gratificação</t>
  </si>
  <si>
    <t>Total de Remuneração</t>
  </si>
  <si>
    <r>
      <rPr>
        <sz val="10"/>
        <color indexed="8"/>
        <rFont val="Calibri"/>
        <charset val="134"/>
        <scheme val="minor"/>
      </rPr>
      <t xml:space="preserve">Nota 1: O Módulo 1 refere-se ao </t>
    </r>
    <r>
      <rPr>
        <b/>
        <sz val="10"/>
        <color indexed="8"/>
        <rFont val="Calibri"/>
        <charset val="134"/>
      </rPr>
      <t>valor mensal devido ao empregado</t>
    </r>
    <r>
      <rPr>
        <sz val="10"/>
        <color indexed="8"/>
        <rFont val="Calibri"/>
        <charset val="134"/>
      </rPr>
      <t xml:space="preserve"> pela prestação do serviço no período de 12 meses. </t>
    </r>
  </si>
  <si>
    <t>MÓDULO 2 : Encargos e Benefícios Anuais, Mensais e Diário.</t>
  </si>
  <si>
    <t>Submódulo 2.1 - 13º (décimo terceiro) Salário, Férias e adicional de Férias.</t>
  </si>
  <si>
    <t>2.1</t>
  </si>
  <si>
    <t>13º (décimo terceiro) Salário, Férias e Adicional de Férias</t>
  </si>
  <si>
    <t xml:space="preserve"> 13º (Décimo Terceiro)  Salário</t>
  </si>
  <si>
    <t>Adicional de Férias</t>
  </si>
  <si>
    <t xml:space="preserve">Total </t>
  </si>
  <si>
    <r>
      <rPr>
        <b/>
        <sz val="10"/>
        <color indexed="8"/>
        <rFont val="Calibri"/>
        <charset val="134"/>
      </rPr>
      <t>Nota 1:</t>
    </r>
    <r>
      <rPr>
        <sz val="10"/>
        <color indexed="8"/>
        <rFont val="Calibri"/>
        <charset val="134"/>
      </rPr>
      <t xml:space="preserve">  Como a planilha de custos e formação de preços é calculada mensalmente, provisiona-se proporcionalmente 1/12 (um doze avos) dos valores referentes a gratificação natalina, férias e adicional de férias. (Redação dada pela Instrução Normativa nº 7, de 2018)</t>
    </r>
  </si>
  <si>
    <r>
      <rPr>
        <b/>
        <sz val="10"/>
        <rFont val="Calibri"/>
        <charset val="134"/>
      </rPr>
      <t xml:space="preserve">Nota 2: </t>
    </r>
    <r>
      <rPr>
        <sz val="10"/>
        <rFont val="Calibri"/>
        <charset val="134"/>
      </rPr>
      <t>O adicional de férias contido no Submódulo 2.1 corresponde a 1/3 (um terço) da remuneração que por sua vez é divido por 12 (doze) conforme Nota 1 acima.</t>
    </r>
  </si>
  <si>
    <r>
      <rPr>
        <b/>
        <sz val="10"/>
        <rFont val="Calibri"/>
        <charset val="134"/>
      </rPr>
      <t xml:space="preserve">Nota 3: </t>
    </r>
    <r>
      <rPr>
        <sz val="10"/>
        <rFont val="Calibri"/>
        <charset val="134"/>
      </rPr>
      <t xml:space="preserve">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(Redação dada pela Instrução Normativa nº 7, de 2018)
</t>
    </r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</si>
  <si>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</si>
  <si>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</si>
  <si>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</si>
  <si>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</si>
  <si>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</si>
  <si>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 xml:space="preserve">Salário Educação </t>
  </si>
  <si>
    <t>SAT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</si>
  <si>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</si>
  <si>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</si>
  <si>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</si>
  <si>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</si>
  <si>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</si>
  <si>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</si>
  <si>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</si>
  <si>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</si>
  <si>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</si>
  <si>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r>
      <rPr>
        <b/>
        <sz val="10"/>
        <color indexed="8"/>
        <rFont val="Calibri"/>
        <charset val="134"/>
      </rPr>
      <t>Nota 1:</t>
    </r>
    <r>
      <rPr>
        <sz val="10"/>
        <color indexed="8"/>
        <rFont val="Calibri"/>
        <charset val="134"/>
      </rPr>
      <t xml:space="preserve"> Os percentuais dos encargos previdenciários, do FGTS e demais contribuiçoes são aqueles estabelecidos pela legislação vigente.</t>
    </r>
  </si>
  <si>
    <r>
      <rPr>
        <b/>
        <sz val="10"/>
        <color indexed="8"/>
        <rFont val="Calibri"/>
        <charset val="134"/>
      </rPr>
      <t>Nota 2:</t>
    </r>
    <r>
      <rPr>
        <sz val="10"/>
        <color indexed="8"/>
        <rFont val="Calibri"/>
        <charset val="134"/>
      </rPr>
      <t xml:space="preserve"> O SAT a depender do grau de risco do serviço irá variar entre 1%, para risco leve, de 2% para risco médio e de 3% para risco grave.</t>
    </r>
  </si>
  <si>
    <r>
      <rPr>
        <b/>
        <sz val="10"/>
        <rFont val="Calibri"/>
        <charset val="134"/>
      </rPr>
      <t xml:space="preserve">Nota 3: </t>
    </r>
    <r>
      <rPr>
        <sz val="10"/>
        <rFont val="Calibri"/>
        <charset val="134"/>
      </rPr>
      <t>Esses percentuais incidem sobre o Módulo 1, o Submódulo 2.1. (Redação dada pela Instrução Normativa nº 7, de 2018)</t>
    </r>
  </si>
  <si>
    <t>Submódulo 2.3 - Benefícios Mensais e Diários.</t>
  </si>
  <si>
    <t>2.3</t>
  </si>
  <si>
    <t>Benefícios Mensais e Diários</t>
  </si>
  <si>
    <t>Transporte</t>
  </si>
  <si>
    <t>Auxílio-Refeição/Alimentação (R$ 7,35 desc. 20% PAT = R$ 5,88/dia trabalhad)</t>
  </si>
  <si>
    <t>Assistência médica e familiar (Cobertura Social)</t>
  </si>
  <si>
    <t xml:space="preserve">ASSISTENCIA ODONTOLOGICA </t>
  </si>
  <si>
    <r>
      <rPr>
        <b/>
        <sz val="10"/>
        <rFont val="Calibri"/>
        <charset val="134"/>
      </rPr>
      <t>Nota 1:</t>
    </r>
    <r>
      <rPr>
        <sz val="10"/>
        <rFont val="Calibri"/>
        <charset val="134"/>
      </rPr>
      <t xml:space="preserve"> O valor informado deverá ser o custo real do benefício (descontado o valor eventualmente pago pelo empregado).</t>
    </r>
  </si>
  <si>
    <r>
      <rPr>
        <b/>
        <sz val="10"/>
        <rFont val="Calibri"/>
        <charset val="134"/>
      </rPr>
      <t xml:space="preserve">Nota 2: </t>
    </r>
    <r>
      <rPr>
        <sz val="10"/>
        <rFont val="Calibri"/>
        <charset val="134"/>
      </rPr>
      <t>Observar a previsão dos benefícios contidos em Acordos, Convenções e Dissídios coletivos de trabalho e atentar-se ao disposto no art. 6º da IN 05/2017 SEGES.</t>
    </r>
  </si>
  <si>
    <t>Quadro-Resumo do Módulo 2 - Encargos e Benefícios anuais, mensais e diários.</t>
  </si>
  <si>
    <t>Encargos e Benefícios Anuais, Mensais e Diários</t>
  </si>
  <si>
    <t xml:space="preserve">13º (décimo terceiro) Salário, Férias e Adicional de Férias
</t>
  </si>
  <si>
    <t xml:space="preserve">Benefícios Mensais e Diários
</t>
  </si>
  <si>
    <t>Módulo 3 - Provisão para Rescisão. (Redação dada pela Instrução Normativa nº 7, de 2018)</t>
  </si>
  <si>
    <t>Provisão para Rescisão</t>
  </si>
  <si>
    <t>Aviso prévio Indenizado</t>
  </si>
  <si>
    <t>Incidência do FGTS sobre aviso prévio indenizado</t>
  </si>
  <si>
    <t>Multa do FGTS e contribuições sociais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</si>
  <si>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</si>
  <si>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</si>
  <si>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</si>
  <si>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Ausente.</t>
  </si>
  <si>
    <r>
      <rPr>
        <b/>
        <sz val="10"/>
        <color indexed="8"/>
        <rFont val="Calibri"/>
        <charset val="134"/>
        <scheme val="minor"/>
      </rPr>
      <t xml:space="preserve">Nota 1: </t>
    </r>
    <r>
      <rPr>
        <sz val="10"/>
        <color indexed="8"/>
        <rFont val="Calibri"/>
        <charset val="134"/>
      </rPr>
      <t xml:space="preserve"> 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  </r>
  </si>
  <si>
    <t>Submódulo 4.1 - Substituto nas Ausências Legais. (Redação dada pela Instrução Normativa nº 7, de 2018)</t>
  </si>
  <si>
    <t>4.1</t>
  </si>
  <si>
    <t>Ausências Legais</t>
  </si>
  <si>
    <t xml:space="preserve">Substituto na cobertura de Férias </t>
  </si>
  <si>
    <t>Substituto na cobertura das Ausências Legais</t>
  </si>
  <si>
    <t>Substituto na cobertura da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</si>
  <si>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</si>
  <si>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</si>
  <si>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</si>
  <si>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Módulo 5 - Insumos Diversos.</t>
  </si>
  <si>
    <t xml:space="preserve">Insumos Diversos </t>
  </si>
  <si>
    <t>Uniformes</t>
  </si>
  <si>
    <t xml:space="preserve">Outros (especificar) 
</t>
  </si>
  <si>
    <r>
      <rPr>
        <b/>
        <sz val="10"/>
        <color indexed="8"/>
        <rFont val="Calibri"/>
        <charset val="134"/>
        <scheme val="minor"/>
      </rPr>
      <t xml:space="preserve">Nota: </t>
    </r>
    <r>
      <rPr>
        <sz val="10"/>
        <color indexed="8"/>
        <rFont val="Calibri"/>
        <charset val="134"/>
      </rPr>
      <t>Valores mensais por empregado.</t>
    </r>
  </si>
  <si>
    <t>Módulo 6 - Custos Indiretos, Tributos e Lucro.</t>
  </si>
  <si>
    <t>Custos Indiretos, Tributos e Lucro</t>
  </si>
  <si>
    <t xml:space="preserve">Custos Indiretos 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</si>
  <si>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</si>
  <si>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</si>
  <si>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</si>
  <si>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</si>
  <si>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</si>
  <si>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r>
      <rPr>
        <b/>
        <sz val="10"/>
        <color indexed="8"/>
        <rFont val="Calibri"/>
        <charset val="134"/>
        <scheme val="minor"/>
      </rPr>
      <t xml:space="preserve">Nota 1: </t>
    </r>
    <r>
      <rPr>
        <sz val="10"/>
        <color indexed="8"/>
        <rFont val="Calibri"/>
        <charset val="134"/>
      </rPr>
      <t>Custos Indiretos, Tributos e Lucro por empregado.</t>
    </r>
  </si>
  <si>
    <r>
      <rPr>
        <b/>
        <sz val="10"/>
        <color indexed="8"/>
        <rFont val="Calibri"/>
        <charset val="134"/>
        <scheme val="minor"/>
      </rPr>
      <t xml:space="preserve">Nota 2: </t>
    </r>
    <r>
      <rPr>
        <sz val="10"/>
        <color indexed="8"/>
        <rFont val="Calibri"/>
        <charset val="134"/>
      </rPr>
      <t>O valor referente a tributos é obtido aplicando-se o percentual sobre o valor do faturamento.</t>
    </r>
  </si>
  <si>
    <t>2. QUADRO-RESUMO DO CUSTO POR EMPREGADO.</t>
  </si>
  <si>
    <t xml:space="preserve">Mão de obra vinculada à execução contratual (valor por
empregado)
</t>
  </si>
  <si>
    <t xml:space="preserve">Módulo 1 - Composição da Remuneração
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</si>
  <si>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</si>
  <si>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</si>
  <si>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</si>
  <si>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</si>
  <si>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</si>
  <si>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>Módulo 6 – Custos Indiretos, Tributos e Lucro</t>
  </si>
  <si>
    <t xml:space="preserve">Valor Total por Empregado  </t>
  </si>
  <si>
    <t>ANEXO IX - A - 1</t>
  </si>
  <si>
    <t>Nº do Processo</t>
  </si>
  <si>
    <t>Licitação nº                                                                           CONTRATAÇÃO EMERGENCIAL</t>
  </si>
  <si>
    <t>2020/2021</t>
  </si>
  <si>
    <t>Nº de meses de execução contratual</t>
  </si>
  <si>
    <t xml:space="preserve">Unidade de Medida (m²) </t>
  </si>
  <si>
    <t xml:space="preserve">Serviço de Operador de Máquinas Agricolas para apoio ao serviço de limpeza de áreas Externas Abertas  em jornada de 44 (quarenta e quatro) horas semanais, em turnos de oito horas, de segunda a sexta-feira  e aos sábados quatro horas. </t>
  </si>
  <si>
    <t>6410-15</t>
  </si>
  <si>
    <r>
      <rPr>
        <b/>
        <sz val="10"/>
        <rFont val="Calibri"/>
        <charset val="134"/>
      </rPr>
      <t>Nota 1:</t>
    </r>
    <r>
      <rPr>
        <sz val="10"/>
        <rFont val="Calibri"/>
        <charset val="134"/>
      </rPr>
      <t xml:space="preserve"> Deverá ser elaborado um quadro para cada tipo de serviço.</t>
    </r>
  </si>
  <si>
    <r>
      <rPr>
        <b/>
        <sz val="10"/>
        <color indexed="8"/>
        <rFont val="Calibri"/>
        <charset val="134"/>
      </rPr>
      <t>Nota 2:</t>
    </r>
    <r>
      <rPr>
        <sz val="10"/>
        <color indexed="8"/>
        <rFont val="Calibri"/>
        <charset val="134"/>
      </rPr>
      <t xml:space="preserve"> A planilha será calculada considerando o </t>
    </r>
    <r>
      <rPr>
        <b/>
        <sz val="10"/>
        <color indexed="8"/>
        <rFont val="Calibri"/>
        <charset val="134"/>
      </rPr>
      <t>valor mensal</t>
    </r>
    <r>
      <rPr>
        <sz val="10"/>
        <color indexed="8"/>
        <rFont val="Calibri"/>
        <charset val="134"/>
      </rPr>
      <t xml:space="preserve"> do empregado.</t>
    </r>
  </si>
  <si>
    <t>Gratificação de Função (Espontâneo)</t>
  </si>
  <si>
    <t xml:space="preserve">Adicional de Insalubridade - Grau Médio ( 20% do salário Mínimo) </t>
  </si>
  <si>
    <r>
      <rPr>
        <b/>
        <sz val="10"/>
        <color indexed="8"/>
        <rFont val="Calibri"/>
        <charset val="134"/>
      </rPr>
      <t>Nota 1:</t>
    </r>
    <r>
      <rPr>
        <sz val="10"/>
        <color indexed="8"/>
        <rFont val="Calibri"/>
        <charset val="134"/>
      </rPr>
      <t xml:space="preserve"> O Módulo 1 refere-se ao </t>
    </r>
    <r>
      <rPr>
        <b/>
        <sz val="10"/>
        <color indexed="8"/>
        <rFont val="Calibri"/>
        <charset val="134"/>
      </rPr>
      <t>valor mensal devido ao empregado</t>
    </r>
    <r>
      <rPr>
        <sz val="10"/>
        <color indexed="8"/>
        <rFont val="Calibri"/>
        <charset val="134"/>
      </rPr>
      <t xml:space="preserve"> pela prestação do serviço no período de 12 meses. </t>
    </r>
  </si>
  <si>
    <t xml:space="preserve">Férias </t>
  </si>
  <si>
    <r>
      <rPr>
        <b/>
        <sz val="10"/>
        <rFont val="Calibri"/>
        <charset val="134"/>
      </rPr>
      <t>Nota 2:</t>
    </r>
    <r>
      <rPr>
        <sz val="10"/>
        <rFont val="Calibri"/>
        <charset val="134"/>
      </rPr>
      <t xml:space="preserve"> O adicional de férias contido no Submódulo 2.1 corresponde a 1/3 (um terço) da remuneração que por sua vez é divido por 12 (doze) conforme Nota 1 acima.</t>
    </r>
  </si>
  <si>
    <r>
      <rPr>
        <b/>
        <sz val="10"/>
        <color indexed="8"/>
        <rFont val="Calibri"/>
        <charset val="134"/>
      </rPr>
      <t xml:space="preserve">Nota 1: </t>
    </r>
    <r>
      <rPr>
        <sz val="10"/>
        <color indexed="8"/>
        <rFont val="Calibri"/>
        <charset val="134"/>
      </rPr>
      <t>Os percentuais dos encargos previdenciários, do FGTS e demais contribuiçoes são aqueles estabelecidos pela legislação vigente.</t>
    </r>
  </si>
  <si>
    <r>
      <rPr>
        <b/>
        <sz val="10"/>
        <rFont val="Calibri"/>
        <charset val="134"/>
      </rPr>
      <t>Nota 3:</t>
    </r>
    <r>
      <rPr>
        <sz val="10"/>
        <rFont val="Calibri"/>
        <charset val="134"/>
      </rPr>
      <t xml:space="preserve"> Esses percentuais incidem sobre o Módulo 1, o Submódulo 2.1. (Redação dada pela Instrução Normativa nº 7, de 2018)</t>
    </r>
  </si>
  <si>
    <t>Auxílio-Refeição/Alimentação (R$ 15,00/dia trabalhado)</t>
  </si>
  <si>
    <t>Auxílio Funeral (Conf. CCT)</t>
  </si>
  <si>
    <t>Seguro de Vida (Conf. CCT)</t>
  </si>
  <si>
    <t>Módulo 3 - Provisão para Rescisão (Redação dada pela Instrução Normativa nº 7, de 2018)</t>
  </si>
  <si>
    <r>
      <rPr>
        <b/>
        <sz val="10"/>
        <color indexed="8"/>
        <rFont val="Calibri"/>
        <charset val="134"/>
        <scheme val="minor"/>
      </rPr>
      <t xml:space="preserve">Nota 1:  </t>
    </r>
    <r>
      <rPr>
        <sz val="10"/>
        <color indexed="8"/>
        <rFont val="Calibri"/>
        <charset val="134"/>
      </rPr>
      <t>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  </r>
  </si>
  <si>
    <t>Equipamentos</t>
  </si>
  <si>
    <t>2. QUADRO-RESUMO DO CUSTO POR EMPREGADO</t>
  </si>
</sst>
</file>

<file path=xl/styles.xml><?xml version="1.0" encoding="utf-8"?>
<styleSheet xmlns="http://schemas.openxmlformats.org/spreadsheetml/2006/main">
  <numFmts count="14">
    <numFmt numFmtId="176" formatCode="_(* #,##0.00_);_(* \(#,##0.00\);_(* &quot;-&quot;??_);_(@_)"/>
    <numFmt numFmtId="177" formatCode="_-&quot;R$&quot;\ * #,##0_-;\-&quot;R$&quot;\ * #,##0_-;_-&quot;R$&quot;\ * &quot;-&quot;_-;_-@_-"/>
    <numFmt numFmtId="178" formatCode="[$-416]General"/>
    <numFmt numFmtId="179" formatCode="&quot; &quot;#,##0.00&quot; &quot;;&quot; (&quot;#,##0.00&quot;)&quot;;&quot; -&quot;#&quot; &quot;;&quot; &quot;@&quot; &quot;"/>
    <numFmt numFmtId="180" formatCode="_(&quot;R$ &quot;* #,##0.00_);_(&quot;R$ &quot;* \(#,##0.00\);_(&quot;R$ &quot;* &quot;-&quot;??_);_(@_)"/>
    <numFmt numFmtId="181" formatCode="_-* #,##0_-;\-* #,##0_-;_-* &quot;-&quot;_-;_-@_-"/>
    <numFmt numFmtId="182" formatCode="_(&quot;R$ &quot;* #,##0.00_);_(&quot;R$ &quot;* \(#,##0.00\);_(&quot;R$ &quot;* \-??_);_(@_)"/>
    <numFmt numFmtId="183" formatCode="_-&quot;R$&quot;\ * #,##0.00_-;\-&quot;R$&quot;\ * #,##0.00_-;_-&quot;R$&quot;\ * &quot;-&quot;??_-;_-@_-"/>
    <numFmt numFmtId="184" formatCode="[$R$-416]&quot; &quot;#,##0.00;[Red]&quot;-&quot;[$R$-416]&quot; &quot;#,##0.00"/>
    <numFmt numFmtId="185" formatCode="_-* #,##0.00_-;\-* #,##0.00_-;_-* \-??_-;_-@_-"/>
    <numFmt numFmtId="186" formatCode="_-* #,##0.00_-;\-* #,##0.00_-;_-* &quot;-&quot;??_-;_-@_-"/>
    <numFmt numFmtId="187" formatCode="0.000%"/>
    <numFmt numFmtId="188" formatCode="_(&quot;R$ &quot;* #,##0.0000_);_(&quot;R$ &quot;* \(#,##0.0000\);_(&quot;R$ &quot;* \-??_);_(@_)"/>
    <numFmt numFmtId="189" formatCode="_-&quot;R$&quot;* #,##0.00_-;\-&quot;R$&quot;* #,##0.00_-;_-&quot;R$&quot;* &quot;-&quot;??_-;_-@_-"/>
  </numFmts>
  <fonts count="54">
    <font>
      <sz val="11"/>
      <color indexed="8"/>
      <name val="Calibri"/>
      <charset val="134"/>
    </font>
    <font>
      <b/>
      <sz val="10"/>
      <name val="Calibri"/>
      <charset val="134"/>
      <scheme val="minor"/>
    </font>
    <font>
      <sz val="10"/>
      <color indexed="8"/>
      <name val="Calibri"/>
      <charset val="134"/>
      <scheme val="minor"/>
    </font>
    <font>
      <sz val="10"/>
      <name val="Calibri"/>
      <charset val="134"/>
      <scheme val="minor"/>
    </font>
    <font>
      <b/>
      <sz val="10"/>
      <color indexed="8"/>
      <name val="Calibri"/>
      <charset val="134"/>
      <scheme val="minor"/>
    </font>
    <font>
      <b/>
      <sz val="8"/>
      <name val="Calibri"/>
      <charset val="134"/>
      <scheme val="minor"/>
    </font>
    <font>
      <sz val="11"/>
      <color indexed="8"/>
      <name val="Calibri"/>
      <charset val="134"/>
      <scheme val="minor"/>
    </font>
    <font>
      <b/>
      <sz val="1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0"/>
      <color rgb="FFFF0000"/>
      <name val="Calibri"/>
      <charset val="134"/>
      <scheme val="minor"/>
    </font>
    <font>
      <sz val="10"/>
      <color rgb="FFFF0000"/>
      <name val="Calibri"/>
      <charset val="134"/>
      <scheme val="minor"/>
    </font>
    <font>
      <sz val="9"/>
      <color indexed="8"/>
      <name val="Calibri"/>
      <charset val="134"/>
      <scheme val="minor"/>
    </font>
    <font>
      <b/>
      <sz val="9"/>
      <color theme="1"/>
      <name val="Calibri"/>
      <charset val="134"/>
      <scheme val="minor"/>
    </font>
    <font>
      <u/>
      <sz val="11"/>
      <color theme="10"/>
      <name val="Calibri"/>
      <charset val="134"/>
    </font>
    <font>
      <b/>
      <sz val="9"/>
      <name val="Calibri"/>
      <charset val="134"/>
      <scheme val="minor"/>
    </font>
    <font>
      <sz val="9"/>
      <name val="Calibri"/>
      <charset val="134"/>
      <scheme val="minor"/>
    </font>
    <font>
      <sz val="9"/>
      <color indexed="8"/>
      <name val="Calibri"/>
      <charset val="134"/>
    </font>
    <font>
      <b/>
      <sz val="9"/>
      <color indexed="8"/>
      <name val="Calibri"/>
      <charset val="134"/>
      <scheme val="minor"/>
    </font>
    <font>
      <b/>
      <sz val="11"/>
      <color theme="0"/>
      <name val="Calibri"/>
      <charset val="134"/>
    </font>
    <font>
      <sz val="11"/>
      <color theme="1"/>
      <name val="Calibri"/>
      <charset val="134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0"/>
      <name val="Arial"/>
      <charset val="134"/>
    </font>
    <font>
      <sz val="10"/>
      <color rgb="FF000000"/>
      <name val="Arial"/>
      <charset val="134"/>
    </font>
    <font>
      <sz val="11"/>
      <color rgb="FF000000"/>
      <name val="Calibri"/>
      <charset val="134"/>
    </font>
    <font>
      <sz val="11"/>
      <name val="Times New Roman"/>
      <charset val="134"/>
    </font>
    <font>
      <sz val="11"/>
      <color theme="1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000000"/>
      <name val="Calibri"/>
      <charset val="1"/>
    </font>
    <font>
      <sz val="11"/>
      <color rgb="FFFA7D00"/>
      <name val="Calibri"/>
      <charset val="0"/>
      <scheme val="minor"/>
    </font>
    <font>
      <sz val="10"/>
      <name val="Arial"/>
      <charset val="1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i/>
      <u/>
      <sz val="11"/>
      <color theme="1"/>
      <name val="Arial"/>
      <charset val="134"/>
    </font>
    <font>
      <i/>
      <sz val="11"/>
      <color rgb="FF7F7F7F"/>
      <name val="Calibri"/>
      <charset val="0"/>
      <scheme val="minor"/>
    </font>
    <font>
      <b/>
      <i/>
      <sz val="16"/>
      <color theme="1"/>
      <name val="Arial"/>
      <charset val="134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theme="10"/>
      <name val="Calibri"/>
      <charset val="134"/>
      <scheme val="minor"/>
    </font>
    <font>
      <b/>
      <sz val="10"/>
      <color indexed="8"/>
      <name val="Calibri"/>
      <charset val="134"/>
    </font>
    <font>
      <sz val="10"/>
      <color indexed="8"/>
      <name val="Calibri"/>
      <charset val="134"/>
    </font>
    <font>
      <b/>
      <sz val="10"/>
      <name val="Calibri"/>
      <charset val="134"/>
    </font>
    <font>
      <sz val="10"/>
      <name val="Calibri"/>
      <charset val="13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349986266670736"/>
        <bgColor theme="0" tint="-0.349986266670736"/>
      </patternFill>
    </fill>
    <fill>
      <patternFill patternType="solid">
        <fgColor theme="0" tint="-0.149998474074526"/>
        <bgColor theme="0" tint="-0.149998474074526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</fills>
  <borders count="1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indexed="8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8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/>
      <top/>
      <bottom style="thin">
        <color indexed="8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8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/>
      <right/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/>
      <top style="medium">
        <color indexed="8"/>
      </top>
      <bottom style="medium">
        <color auto="1"/>
      </bottom>
      <diagonal/>
    </border>
    <border>
      <left/>
      <right/>
      <top style="medium">
        <color indexed="8"/>
      </top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176" fontId="24" fillId="0" borderId="0" applyFill="0" applyBorder="0" applyAlignment="0" applyProtection="0"/>
    <xf numFmtId="181" fontId="29" fillId="0" borderId="0" applyFon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9" fontId="0" fillId="0" borderId="0" applyFill="0" applyBorder="0" applyAlignment="0" applyProtection="0"/>
    <xf numFmtId="0" fontId="31" fillId="0" borderId="105" applyNumberFormat="0" applyFill="0" applyAlignment="0" applyProtection="0">
      <alignment vertical="center"/>
    </xf>
    <xf numFmtId="0" fontId="22" fillId="16" borderId="103" applyNumberFormat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182" fontId="0" fillId="0" borderId="0" applyFill="0" applyBorder="0" applyAlignment="0" applyProtection="0"/>
    <xf numFmtId="180" fontId="27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29" fillId="20" borderId="104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0" borderId="0"/>
    <xf numFmtId="0" fontId="28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183" fontId="37" fillId="0" borderId="0" applyFont="0" applyFill="0" applyBorder="0" applyAlignment="0" applyProtection="0"/>
    <xf numFmtId="0" fontId="20" fillId="0" borderId="10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3" fillId="0" borderId="102" applyNumberFormat="0" applyFill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4" fillId="0" borderId="106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44" fillId="36" borderId="107" applyNumberFormat="0" applyAlignment="0" applyProtection="0">
      <alignment vertical="center"/>
    </xf>
    <xf numFmtId="0" fontId="46" fillId="35" borderId="108" applyNumberFormat="0" applyAlignment="0" applyProtection="0">
      <alignment vertical="center"/>
    </xf>
    <xf numFmtId="0" fontId="43" fillId="35" borderId="107" applyNumberFormat="0" applyAlignment="0" applyProtection="0">
      <alignment vertical="center"/>
    </xf>
    <xf numFmtId="0" fontId="47" fillId="0" borderId="109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45" fillId="37" borderId="0" applyNumberFormat="0" applyBorder="0" applyAlignment="0" applyProtection="0">
      <alignment vertical="center"/>
    </xf>
    <xf numFmtId="0" fontId="48" fillId="39" borderId="0" applyNumberFormat="0" applyBorder="0" applyAlignment="0" applyProtection="0">
      <alignment vertical="center"/>
    </xf>
    <xf numFmtId="180" fontId="36" fillId="0" borderId="0" applyFont="0" applyFill="0" applyBorder="0" applyAlignment="0" applyProtection="0"/>
    <xf numFmtId="0" fontId="42" fillId="0" borderId="0">
      <alignment horizontal="center"/>
    </xf>
    <xf numFmtId="0" fontId="28" fillId="40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183" fontId="36" fillId="0" borderId="0" applyFont="0" applyFill="0" applyBorder="0" applyAlignment="0" applyProtection="0"/>
    <xf numFmtId="0" fontId="42" fillId="0" borderId="0">
      <alignment horizontal="center" textRotation="90"/>
    </xf>
    <xf numFmtId="0" fontId="28" fillId="41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4" fillId="0" borderId="0"/>
    <xf numFmtId="0" fontId="0" fillId="0" borderId="0"/>
    <xf numFmtId="0" fontId="33" fillId="23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179" fontId="26" fillId="0" borderId="0"/>
    <xf numFmtId="0" fontId="49" fillId="0" borderId="0" applyNumberFormat="0" applyFill="0" applyBorder="0" applyAlignment="0" applyProtection="0"/>
    <xf numFmtId="178" fontId="26" fillId="0" borderId="0"/>
    <xf numFmtId="178" fontId="25" fillId="0" borderId="0"/>
    <xf numFmtId="0" fontId="32" fillId="0" borderId="0"/>
    <xf numFmtId="0" fontId="24" fillId="0" borderId="0"/>
    <xf numFmtId="0" fontId="36" fillId="0" borderId="0"/>
    <xf numFmtId="0" fontId="37" fillId="0" borderId="0"/>
    <xf numFmtId="9" fontId="30" fillId="0" borderId="0"/>
    <xf numFmtId="9" fontId="24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40" fillId="0" borderId="0"/>
    <xf numFmtId="184" fontId="40" fillId="0" borderId="0"/>
    <xf numFmtId="179" fontId="26" fillId="0" borderId="0"/>
    <xf numFmtId="185" fontId="30" fillId="0" borderId="0"/>
    <xf numFmtId="176" fontId="36" fillId="0" borderId="0" applyFont="0" applyFill="0" applyBorder="0" applyAlignment="0" applyProtection="0"/>
    <xf numFmtId="176" fontId="24" fillId="0" borderId="0" applyFill="0" applyBorder="0" applyAlignment="0" applyProtection="0"/>
    <xf numFmtId="186" fontId="36" fillId="0" borderId="0" applyFont="0" applyFill="0" applyBorder="0" applyAlignment="0" applyProtection="0"/>
  </cellStyleXfs>
  <cellXfs count="3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5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4" fontId="3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2" fontId="2" fillId="0" borderId="2" xfId="0" applyNumberFormat="1" applyFont="1" applyBorder="1" applyAlignment="1"/>
    <xf numFmtId="0" fontId="6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/>
    <xf numFmtId="0" fontId="1" fillId="0" borderId="0" xfId="0" applyFont="1" applyBorder="1" applyAlignment="1" applyProtection="1">
      <alignment horizontal="left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1" fillId="3" borderId="5" xfId="0" applyFont="1" applyFill="1" applyBorder="1" applyAlignment="1" applyProtection="1">
      <alignment horizontal="left" vertical="center" wrapText="1"/>
      <protection hidden="1"/>
    </xf>
    <xf numFmtId="0" fontId="1" fillId="3" borderId="6" xfId="0" applyFont="1" applyFill="1" applyBorder="1" applyAlignment="1" applyProtection="1">
      <alignment horizontal="left" vertical="center" wrapText="1"/>
      <protection hidden="1"/>
    </xf>
    <xf numFmtId="0" fontId="1" fillId="3" borderId="7" xfId="0" applyFont="1" applyFill="1" applyBorder="1" applyAlignment="1" applyProtection="1">
      <alignment horizontal="left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3" fillId="0" borderId="9" xfId="0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 applyProtection="1">
      <alignment horizontal="left" vertical="center" wrapText="1"/>
      <protection hidden="1"/>
    </xf>
    <xf numFmtId="0" fontId="3" fillId="0" borderId="13" xfId="0" applyFont="1" applyFill="1" applyBorder="1" applyAlignment="1" applyProtection="1">
      <alignment horizontal="left" vertical="center" wrapText="1"/>
      <protection hidden="1"/>
    </xf>
    <xf numFmtId="0" fontId="1" fillId="0" borderId="14" xfId="0" applyFont="1" applyBorder="1" applyAlignment="1" applyProtection="1">
      <alignment horizontal="center" vertical="center" wrapText="1"/>
      <protection hidden="1"/>
    </xf>
    <xf numFmtId="0" fontId="3" fillId="0" borderId="15" xfId="0" applyFont="1" applyFill="1" applyBorder="1" applyAlignment="1" applyProtection="1">
      <alignment horizontal="left" vertical="center" wrapText="1"/>
      <protection hidden="1"/>
    </xf>
    <xf numFmtId="182" fontId="7" fillId="0" borderId="10" xfId="9" applyFont="1" applyFill="1" applyBorder="1" applyAlignment="1" applyProtection="1">
      <alignment horizontal="center" vertical="center" wrapText="1"/>
      <protection hidden="1"/>
    </xf>
    <xf numFmtId="0" fontId="1" fillId="0" borderId="16" xfId="0" applyFont="1" applyBorder="1" applyAlignment="1" applyProtection="1">
      <alignment horizontal="center" vertical="center" wrapText="1"/>
      <protection hidden="1"/>
    </xf>
    <xf numFmtId="0" fontId="3" fillId="0" borderId="17" xfId="0" applyFont="1" applyFill="1" applyBorder="1" applyAlignment="1" applyProtection="1">
      <alignment horizontal="left" vertical="center" wrapText="1"/>
      <protection hidden="1"/>
    </xf>
    <xf numFmtId="58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1" fillId="3" borderId="19" xfId="0" applyFont="1" applyFill="1" applyBorder="1" applyAlignment="1" applyProtection="1">
      <alignment horizontal="center" vertical="center" wrapText="1"/>
      <protection hidden="1"/>
    </xf>
    <xf numFmtId="0" fontId="1" fillId="3" borderId="20" xfId="0" applyFont="1" applyFill="1" applyBorder="1" applyAlignment="1" applyProtection="1">
      <alignment horizontal="center" vertical="center" wrapText="1"/>
      <protection hidden="1"/>
    </xf>
    <xf numFmtId="0" fontId="1" fillId="3" borderId="21" xfId="0" applyFont="1" applyFill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2" fillId="0" borderId="23" xfId="0" applyFont="1" applyFill="1" applyBorder="1" applyAlignment="1" applyProtection="1">
      <alignment horizontal="left" vertical="center" wrapText="1"/>
      <protection hidden="1"/>
    </xf>
    <xf numFmtId="182" fontId="2" fillId="0" borderId="24" xfId="9" applyFont="1" applyFill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26" xfId="0" applyFont="1" applyFill="1" applyBorder="1" applyAlignment="1" applyProtection="1">
      <alignment horizontal="left" vertical="center" wrapText="1"/>
      <protection hidden="1"/>
    </xf>
    <xf numFmtId="182" fontId="2" fillId="0" borderId="27" xfId="9" applyFont="1" applyFill="1" applyBorder="1" applyAlignment="1" applyProtection="1">
      <alignment horizontal="center" vertical="center" wrapText="1"/>
      <protection hidden="1"/>
    </xf>
    <xf numFmtId="182" fontId="2" fillId="0" borderId="28" xfId="9" applyFont="1" applyFill="1" applyBorder="1" applyAlignment="1" applyProtection="1">
      <alignment horizontal="center" vertical="center" wrapText="1"/>
      <protection hidden="1"/>
    </xf>
    <xf numFmtId="0" fontId="4" fillId="3" borderId="20" xfId="0" applyFont="1" applyFill="1" applyBorder="1" applyAlignment="1" applyProtection="1">
      <alignment horizontal="center" vertical="center" wrapText="1"/>
      <protection hidden="1"/>
    </xf>
    <xf numFmtId="0" fontId="4" fillId="3" borderId="29" xfId="0" applyFont="1" applyFill="1" applyBorder="1" applyAlignment="1" applyProtection="1">
      <alignment horizontal="center" vertical="center" wrapText="1"/>
      <protection hidden="1"/>
    </xf>
    <xf numFmtId="0" fontId="4" fillId="3" borderId="21" xfId="0" applyFont="1" applyFill="1" applyBorder="1" applyAlignment="1" applyProtection="1">
      <alignment horizontal="center" vertical="center" wrapText="1"/>
      <protection hidden="1"/>
    </xf>
    <xf numFmtId="182" fontId="4" fillId="3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4" borderId="0" xfId="0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Border="1" applyAlignment="1" applyProtection="1">
      <alignment horizontal="left" vertical="center" wrapText="1"/>
      <protection hidden="1"/>
    </xf>
    <xf numFmtId="182" fontId="4" fillId="4" borderId="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0" fontId="1" fillId="5" borderId="19" xfId="0" applyFont="1" applyFill="1" applyBorder="1" applyAlignment="1" applyProtection="1">
      <alignment horizontal="center" vertical="center" wrapText="1"/>
      <protection hidden="1"/>
    </xf>
    <xf numFmtId="0" fontId="1" fillId="5" borderId="20" xfId="0" applyFont="1" applyFill="1" applyBorder="1" applyAlignment="1" applyProtection="1">
      <alignment horizontal="center" vertical="center"/>
      <protection hidden="1"/>
    </xf>
    <xf numFmtId="0" fontId="1" fillId="5" borderId="21" xfId="0" applyFont="1" applyFill="1" applyBorder="1" applyAlignment="1" applyProtection="1">
      <alignment horizontal="center" vertical="center"/>
      <protection hidden="1"/>
    </xf>
    <xf numFmtId="0" fontId="1" fillId="5" borderId="21" xfId="0" applyFont="1" applyFill="1" applyBorder="1" applyAlignment="1" applyProtection="1">
      <alignment horizontal="center" vertical="center" wrapText="1"/>
      <protection hidden="1"/>
    </xf>
    <xf numFmtId="0" fontId="3" fillId="6" borderId="31" xfId="0" applyFont="1" applyFill="1" applyBorder="1" applyAlignment="1" applyProtection="1">
      <alignment horizontal="center" vertical="center" wrapText="1"/>
      <protection hidden="1"/>
    </xf>
    <xf numFmtId="0" fontId="3" fillId="6" borderId="23" xfId="0" applyFont="1" applyFill="1" applyBorder="1" applyAlignment="1" applyProtection="1">
      <alignment horizontal="left" vertical="center" wrapText="1"/>
      <protection hidden="1"/>
    </xf>
    <xf numFmtId="182" fontId="3" fillId="6" borderId="24" xfId="9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3" fillId="6" borderId="32" xfId="0" applyFont="1" applyFill="1" applyBorder="1" applyAlignment="1" applyProtection="1">
      <alignment horizontal="left" vertical="center" wrapText="1"/>
      <protection hidden="1"/>
    </xf>
    <xf numFmtId="0" fontId="3" fillId="6" borderId="33" xfId="0" applyFont="1" applyFill="1" applyBorder="1" applyAlignment="1" applyProtection="1">
      <alignment horizontal="left" vertical="center" wrapText="1"/>
      <protection hidden="1"/>
    </xf>
    <xf numFmtId="182" fontId="3" fillId="6" borderId="34" xfId="9" applyFont="1" applyFill="1" applyBorder="1" applyAlignment="1" applyProtection="1">
      <alignment horizontal="center" vertical="center" wrapText="1"/>
      <protection hidden="1"/>
    </xf>
    <xf numFmtId="0" fontId="1" fillId="5" borderId="35" xfId="0" applyFont="1" applyFill="1" applyBorder="1" applyAlignment="1" applyProtection="1">
      <alignment horizontal="center" vertical="center" wrapText="1"/>
      <protection hidden="1"/>
    </xf>
    <xf numFmtId="0" fontId="1" fillId="5" borderId="29" xfId="0" applyFont="1" applyFill="1" applyBorder="1" applyAlignment="1" applyProtection="1">
      <alignment horizontal="center" vertical="center" wrapText="1"/>
      <protection hidden="1"/>
    </xf>
    <xf numFmtId="182" fontId="1" fillId="5" borderId="19" xfId="9" applyFont="1" applyFill="1" applyBorder="1" applyAlignment="1" applyProtection="1">
      <alignment horizontal="center" vertical="center" wrapText="1"/>
      <protection hidden="1"/>
    </xf>
    <xf numFmtId="0" fontId="1" fillId="4" borderId="0" xfId="0" applyFont="1" applyFill="1" applyBorder="1" applyAlignment="1" applyProtection="1">
      <alignment horizontal="left" vertical="center" wrapText="1"/>
      <protection hidden="1"/>
    </xf>
    <xf numFmtId="182" fontId="1" fillId="4" borderId="0" xfId="9" applyFont="1" applyFill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3" fillId="0" borderId="0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horizontal="left" wrapText="1"/>
      <protection hidden="1"/>
    </xf>
    <xf numFmtId="0" fontId="1" fillId="3" borderId="36" xfId="0" applyFont="1" applyFill="1" applyBorder="1" applyAlignment="1" applyProtection="1">
      <alignment horizontal="center" vertical="center" wrapText="1"/>
      <protection hidden="1"/>
    </xf>
    <xf numFmtId="0" fontId="3" fillId="0" borderId="37" xfId="0" applyFont="1" applyBorder="1" applyAlignment="1" applyProtection="1">
      <alignment horizontal="center" vertical="center" wrapText="1"/>
      <protection hidden="1"/>
    </xf>
    <xf numFmtId="0" fontId="3" fillId="0" borderId="38" xfId="0" applyFont="1" applyFill="1" applyBorder="1" applyAlignment="1" applyProtection="1">
      <alignment horizontal="left" vertical="center" wrapText="1"/>
      <protection hidden="1"/>
    </xf>
    <xf numFmtId="10" fontId="2" fillId="0" borderId="9" xfId="4" applyNumberFormat="1" applyFont="1" applyFill="1" applyBorder="1" applyAlignment="1" applyProtection="1">
      <alignment horizontal="center" vertical="center" wrapText="1"/>
      <protection hidden="1"/>
    </xf>
    <xf numFmtId="182" fontId="3" fillId="0" borderId="39" xfId="9" applyFont="1" applyFill="1" applyBorder="1" applyAlignment="1" applyProtection="1">
      <alignment horizontal="center" vertical="center" wrapText="1"/>
      <protection hidden="1"/>
    </xf>
    <xf numFmtId="0" fontId="3" fillId="0" borderId="40" xfId="0" applyFont="1" applyBorder="1" applyAlignment="1" applyProtection="1">
      <alignment horizontal="center" vertical="center" wrapText="1"/>
      <protection hidden="1"/>
    </xf>
    <xf numFmtId="10" fontId="2" fillId="0" borderId="15" xfId="4" applyNumberFormat="1" applyFont="1" applyFill="1" applyBorder="1" applyAlignment="1" applyProtection="1">
      <alignment horizontal="center" vertical="center" wrapText="1"/>
      <protection hidden="1"/>
    </xf>
    <xf numFmtId="0" fontId="3" fillId="2" borderId="15" xfId="0" applyFont="1" applyFill="1" applyBorder="1" applyAlignment="1" applyProtection="1">
      <alignment horizontal="left" vertical="center" wrapText="1"/>
      <protection hidden="1"/>
    </xf>
    <xf numFmtId="10" fontId="2" fillId="7" borderId="15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41" xfId="0" applyFont="1" applyBorder="1" applyAlignment="1" applyProtection="1">
      <alignment horizontal="center" vertical="center" wrapText="1"/>
      <protection hidden="1"/>
    </xf>
    <xf numFmtId="0" fontId="3" fillId="0" borderId="42" xfId="0" applyFont="1" applyFill="1" applyBorder="1" applyAlignment="1" applyProtection="1">
      <alignment horizontal="left" vertical="center" wrapText="1"/>
      <protection hidden="1"/>
    </xf>
    <xf numFmtId="10" fontId="2" fillId="0" borderId="42" xfId="4" applyNumberFormat="1" applyFont="1" applyFill="1" applyBorder="1" applyAlignment="1" applyProtection="1">
      <alignment horizontal="center" vertical="center" wrapText="1"/>
      <protection hidden="1"/>
    </xf>
    <xf numFmtId="0" fontId="1" fillId="3" borderId="43" xfId="0" applyFont="1" applyFill="1" applyBorder="1" applyAlignment="1" applyProtection="1">
      <alignment horizontal="center" vertical="center" wrapText="1"/>
      <protection hidden="1"/>
    </xf>
    <xf numFmtId="0" fontId="1" fillId="3" borderId="44" xfId="0" applyFont="1" applyFill="1" applyBorder="1" applyAlignment="1" applyProtection="1">
      <alignment horizontal="center" vertical="center" wrapText="1"/>
      <protection hidden="1"/>
    </xf>
    <xf numFmtId="10" fontId="1" fillId="3" borderId="45" xfId="4" applyNumberFormat="1" applyFont="1" applyFill="1" applyBorder="1" applyAlignment="1" applyProtection="1">
      <alignment horizontal="center" vertical="center" wrapText="1"/>
      <protection hidden="1"/>
    </xf>
    <xf numFmtId="182" fontId="1" fillId="3" borderId="19" xfId="9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3" borderId="46" xfId="0" applyFont="1" applyFill="1" applyBorder="1" applyAlignment="1" applyProtection="1">
      <alignment horizontal="center" vertical="center" wrapText="1"/>
      <protection hidden="1"/>
    </xf>
    <xf numFmtId="0" fontId="1" fillId="3" borderId="47" xfId="0" applyFont="1" applyFill="1" applyBorder="1" applyAlignment="1" applyProtection="1">
      <alignment horizontal="center" vertical="center" wrapText="1"/>
      <protection hidden="1"/>
    </xf>
    <xf numFmtId="0" fontId="3" fillId="0" borderId="23" xfId="0" applyFont="1" applyFill="1" applyBorder="1" applyAlignment="1" applyProtection="1">
      <alignment horizontal="left" vertical="center" wrapText="1"/>
      <protection hidden="1"/>
    </xf>
    <xf numFmtId="182" fontId="3" fillId="0" borderId="24" xfId="9" applyFont="1" applyFill="1" applyBorder="1" applyAlignment="1" applyProtection="1">
      <alignment horizontal="center" vertical="center" wrapText="1"/>
      <protection hidden="1"/>
    </xf>
    <xf numFmtId="0" fontId="3" fillId="0" borderId="48" xfId="0" applyFont="1" applyBorder="1" applyAlignment="1" applyProtection="1">
      <alignment horizontal="center" vertical="center" wrapText="1"/>
      <protection hidden="1"/>
    </xf>
    <xf numFmtId="182" fontId="3" fillId="0" borderId="49" xfId="9" applyFont="1" applyFill="1" applyBorder="1" applyAlignment="1" applyProtection="1">
      <alignment horizontal="center" vertical="center" wrapText="1"/>
      <protection hidden="1"/>
    </xf>
    <xf numFmtId="182" fontId="3" fillId="0" borderId="50" xfId="9" applyFont="1" applyFill="1" applyBorder="1" applyAlignment="1" applyProtection="1">
      <alignment horizontal="center" vertical="center" wrapText="1"/>
      <protection hidden="1"/>
    </xf>
    <xf numFmtId="182" fontId="3" fillId="0" borderId="51" xfId="9" applyFont="1" applyFill="1" applyBorder="1" applyAlignment="1" applyProtection="1">
      <alignment horizontal="center" vertical="center" wrapText="1"/>
      <protection hidden="1"/>
    </xf>
    <xf numFmtId="0" fontId="1" fillId="3" borderId="29" xfId="0" applyFont="1" applyFill="1" applyBorder="1" applyAlignment="1" applyProtection="1">
      <alignment horizontal="center" vertical="center" wrapText="1"/>
      <protection hidden="1"/>
    </xf>
    <xf numFmtId="0" fontId="1" fillId="4" borderId="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left" vertical="top" wrapText="1"/>
      <protection hidden="1"/>
    </xf>
    <xf numFmtId="0" fontId="3" fillId="0" borderId="52" xfId="0" applyFont="1" applyFill="1" applyBorder="1" applyAlignment="1" applyProtection="1">
      <alignment horizontal="left" vertical="top" wrapText="1"/>
      <protection hidden="1"/>
    </xf>
    <xf numFmtId="0" fontId="3" fillId="0" borderId="53" xfId="0" applyFont="1" applyFill="1" applyBorder="1" applyAlignment="1" applyProtection="1">
      <alignment horizontal="left" vertical="top" wrapText="1"/>
      <protection hidden="1"/>
    </xf>
    <xf numFmtId="0" fontId="3" fillId="0" borderId="54" xfId="0" applyFont="1" applyFill="1" applyBorder="1" applyAlignment="1" applyProtection="1">
      <alignment horizontal="left" vertical="top" wrapText="1"/>
      <protection hidden="1"/>
    </xf>
    <xf numFmtId="0" fontId="3" fillId="0" borderId="55" xfId="0" applyFont="1" applyFill="1" applyBorder="1" applyAlignment="1" applyProtection="1">
      <alignment horizontal="left" vertical="top" wrapText="1"/>
      <protection hidden="1"/>
    </xf>
    <xf numFmtId="0" fontId="3" fillId="8" borderId="0" xfId="0" applyFont="1" applyFill="1" applyBorder="1" applyAlignment="1" applyProtection="1">
      <alignment horizontal="left" vertical="center" wrapText="1"/>
      <protection hidden="1"/>
    </xf>
    <xf numFmtId="0" fontId="1" fillId="8" borderId="0" xfId="0" applyFont="1" applyFill="1" applyBorder="1" applyAlignment="1" applyProtection="1">
      <alignment horizontal="left" vertical="center" wrapText="1"/>
      <protection hidden="1"/>
    </xf>
    <xf numFmtId="0" fontId="1" fillId="5" borderId="20" xfId="0" applyFont="1" applyFill="1" applyBorder="1" applyAlignment="1" applyProtection="1">
      <alignment horizontal="center" vertical="center" wrapText="1"/>
      <protection hidden="1"/>
    </xf>
    <xf numFmtId="0" fontId="3" fillId="6" borderId="56" xfId="0" applyFont="1" applyFill="1" applyBorder="1" applyAlignment="1" applyProtection="1">
      <alignment horizontal="center" vertical="center" wrapText="1"/>
      <protection hidden="1"/>
    </xf>
    <xf numFmtId="176" fontId="3" fillId="6" borderId="57" xfId="1" applyFont="1" applyFill="1" applyBorder="1" applyAlignment="1" applyProtection="1">
      <alignment horizontal="center" vertical="center" wrapText="1"/>
      <protection hidden="1"/>
    </xf>
    <xf numFmtId="0" fontId="3" fillId="6" borderId="58" xfId="0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left" vertical="center" wrapText="1"/>
      <protection hidden="1"/>
    </xf>
    <xf numFmtId="176" fontId="3" fillId="6" borderId="59" xfId="1" applyFont="1" applyFill="1" applyBorder="1" applyAlignment="1" applyProtection="1">
      <alignment horizontal="center" vertical="center" wrapText="1"/>
      <protection hidden="1"/>
    </xf>
    <xf numFmtId="0" fontId="3" fillId="6" borderId="60" xfId="0" applyFont="1" applyFill="1" applyBorder="1" applyAlignment="1" applyProtection="1">
      <alignment horizontal="center" vertical="center" wrapText="1"/>
      <protection hidden="1"/>
    </xf>
    <xf numFmtId="176" fontId="3" fillId="6" borderId="61" xfId="1" applyFont="1" applyFill="1" applyBorder="1" applyAlignment="1" applyProtection="1">
      <alignment horizontal="center" vertical="center" wrapText="1"/>
      <protection hidden="1"/>
    </xf>
    <xf numFmtId="0" fontId="4" fillId="5" borderId="20" xfId="0" applyFont="1" applyFill="1" applyBorder="1" applyAlignment="1" applyProtection="1">
      <alignment horizontal="center" vertical="center" wrapText="1"/>
      <protection hidden="1"/>
    </xf>
    <xf numFmtId="0" fontId="4" fillId="5" borderId="29" xfId="0" applyFont="1" applyFill="1" applyBorder="1" applyAlignment="1" applyProtection="1">
      <alignment horizontal="center" vertical="center" wrapText="1"/>
      <protection hidden="1"/>
    </xf>
    <xf numFmtId="0" fontId="4" fillId="5" borderId="21" xfId="0" applyFont="1" applyFill="1" applyBorder="1" applyAlignment="1" applyProtection="1">
      <alignment horizontal="center" vertical="center" wrapText="1"/>
      <protection hidden="1"/>
    </xf>
    <xf numFmtId="182" fontId="1" fillId="5" borderId="19" xfId="9" applyFont="1" applyFill="1" applyBorder="1" applyAlignment="1" applyProtection="1">
      <alignment horizontal="left" vertical="center" wrapText="1"/>
      <protection hidden="1"/>
    </xf>
    <xf numFmtId="0" fontId="3" fillId="9" borderId="36" xfId="0" applyFont="1" applyFill="1" applyBorder="1" applyAlignment="1" applyProtection="1">
      <alignment horizontal="center" vertical="center" wrapText="1"/>
      <protection hidden="1"/>
    </xf>
    <xf numFmtId="0" fontId="1" fillId="9" borderId="0" xfId="0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left" vertical="center" wrapText="1"/>
    </xf>
    <xf numFmtId="0" fontId="3" fillId="6" borderId="62" xfId="0" applyFont="1" applyFill="1" applyBorder="1" applyAlignment="1" applyProtection="1">
      <alignment horizontal="center" vertical="center" wrapText="1"/>
      <protection hidden="1"/>
    </xf>
    <xf numFmtId="182" fontId="3" fillId="6" borderId="63" xfId="9" applyFont="1" applyFill="1" applyBorder="1" applyAlignment="1" applyProtection="1">
      <alignment horizontal="center" vertical="center" wrapText="1"/>
      <protection hidden="1"/>
    </xf>
    <xf numFmtId="0" fontId="3" fillId="6" borderId="64" xfId="0" applyFont="1" applyFill="1" applyBorder="1" applyAlignment="1" applyProtection="1">
      <alignment horizontal="center" vertical="center" wrapText="1"/>
      <protection hidden="1"/>
    </xf>
    <xf numFmtId="182" fontId="3" fillId="6" borderId="65" xfId="9" applyFont="1" applyFill="1" applyBorder="1" applyAlignment="1" applyProtection="1">
      <alignment horizontal="center" vertical="center" wrapText="1"/>
      <protection hidden="1"/>
    </xf>
    <xf numFmtId="0" fontId="3" fillId="6" borderId="66" xfId="0" applyFont="1" applyFill="1" applyBorder="1" applyAlignment="1" applyProtection="1">
      <alignment horizontal="center" vertical="center" wrapText="1"/>
      <protection hidden="1"/>
    </xf>
    <xf numFmtId="0" fontId="3" fillId="9" borderId="0" xfId="0" applyFont="1" applyFill="1" applyBorder="1" applyAlignment="1" applyProtection="1">
      <alignment horizontal="left" vertical="center" wrapText="1"/>
      <protection hidden="1"/>
    </xf>
    <xf numFmtId="0" fontId="3" fillId="9" borderId="0" xfId="0" applyFont="1" applyFill="1" applyBorder="1" applyAlignment="1" applyProtection="1">
      <alignment horizontal="center" vertical="center" wrapText="1"/>
      <protection hidden="1"/>
    </xf>
    <xf numFmtId="0" fontId="4" fillId="9" borderId="0" xfId="0" applyFont="1" applyFill="1" applyBorder="1" applyAlignment="1" applyProtection="1">
      <alignment horizontal="center" vertical="center" wrapText="1"/>
      <protection hidden="1"/>
    </xf>
    <xf numFmtId="182" fontId="1" fillId="9" borderId="0" xfId="9" applyFont="1" applyFill="1" applyBorder="1" applyAlignment="1" applyProtection="1">
      <alignment horizontal="center" vertical="center" wrapText="1"/>
      <protection hidden="1"/>
    </xf>
    <xf numFmtId="0" fontId="1" fillId="3" borderId="67" xfId="0" applyFont="1" applyFill="1" applyBorder="1" applyAlignment="1" applyProtection="1">
      <alignment horizontal="center" vertical="center" wrapText="1"/>
      <protection hidden="1"/>
    </xf>
    <xf numFmtId="0" fontId="1" fillId="3" borderId="68" xfId="0" applyFont="1" applyFill="1" applyBorder="1" applyAlignment="1" applyProtection="1">
      <alignment horizontal="center" vertical="center" wrapText="1"/>
      <protection hidden="1"/>
    </xf>
    <xf numFmtId="0" fontId="1" fillId="3" borderId="69" xfId="0" applyFont="1" applyFill="1" applyBorder="1" applyAlignment="1" applyProtection="1">
      <alignment horizontal="center" vertical="center" wrapText="1"/>
      <protection hidden="1"/>
    </xf>
    <xf numFmtId="0" fontId="1" fillId="3" borderId="70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182" fontId="3" fillId="0" borderId="1" xfId="9" applyFont="1" applyFill="1" applyBorder="1" applyAlignment="1" applyProtection="1">
      <alignment horizontal="center" vertical="center" wrapText="1"/>
      <protection hidden="1"/>
    </xf>
    <xf numFmtId="182" fontId="1" fillId="3" borderId="47" xfId="9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4" fillId="9" borderId="0" xfId="0" applyFont="1" applyFill="1" applyBorder="1" applyAlignment="1" applyProtection="1">
      <alignment horizontal="left" vertical="center" wrapText="1"/>
      <protection hidden="1"/>
    </xf>
    <xf numFmtId="182" fontId="1" fillId="9" borderId="0" xfId="9" applyFont="1" applyFill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2" fillId="0" borderId="71" xfId="0" applyFont="1" applyBorder="1"/>
    <xf numFmtId="10" fontId="2" fillId="0" borderId="52" xfId="4" applyNumberFormat="1" applyFont="1" applyFill="1" applyBorder="1" applyAlignment="1" applyProtection="1">
      <alignment horizontal="center" vertical="center" wrapText="1"/>
      <protection hidden="1"/>
    </xf>
    <xf numFmtId="176" fontId="3" fillId="0" borderId="1" xfId="74" applyFont="1" applyFill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2" fillId="0" borderId="38" xfId="0" applyFont="1" applyBorder="1"/>
    <xf numFmtId="10" fontId="2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8" fillId="0" borderId="15" xfId="0" applyFont="1" applyFill="1" applyBorder="1" applyAlignment="1" applyProtection="1">
      <alignment horizontal="left" vertical="center" wrapText="1"/>
      <protection hidden="1"/>
    </xf>
    <xf numFmtId="10" fontId="6" fillId="0" borderId="1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72" xfId="0" applyFont="1" applyBorder="1" applyAlignment="1" applyProtection="1">
      <alignment horizontal="center" vertical="center" wrapText="1"/>
      <protection hidden="1"/>
    </xf>
    <xf numFmtId="10" fontId="2" fillId="0" borderId="54" xfId="4" applyNumberFormat="1" applyFont="1" applyFill="1" applyBorder="1" applyAlignment="1" applyProtection="1">
      <alignment horizontal="center" vertical="center" wrapText="1"/>
      <protection hidden="1"/>
    </xf>
    <xf numFmtId="176" fontId="3" fillId="0" borderId="33" xfId="74" applyFont="1" applyFill="1" applyBorder="1" applyAlignment="1" applyProtection="1">
      <alignment horizontal="center" vertical="center" wrapText="1"/>
      <protection hidden="1"/>
    </xf>
    <xf numFmtId="10" fontId="1" fillId="3" borderId="19" xfId="4" applyNumberFormat="1" applyFont="1" applyFill="1" applyBorder="1" applyAlignment="1" applyProtection="1">
      <alignment horizontal="center" vertical="center" wrapText="1"/>
      <protection hidden="1"/>
    </xf>
    <xf numFmtId="182" fontId="7" fillId="3" borderId="19" xfId="9" applyFont="1" applyFill="1" applyBorder="1" applyAlignment="1" applyProtection="1">
      <alignment horizontal="center" vertical="center" wrapText="1"/>
      <protection hidden="1"/>
    </xf>
    <xf numFmtId="0" fontId="4" fillId="4" borderId="36" xfId="0" applyFont="1" applyFill="1" applyBorder="1" applyAlignment="1" applyProtection="1">
      <alignment horizontal="center" vertical="center" wrapText="1"/>
      <protection hidden="1"/>
    </xf>
    <xf numFmtId="10" fontId="1" fillId="4" borderId="36" xfId="4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>
      <alignment horizontal="left" vertical="center"/>
    </xf>
    <xf numFmtId="0" fontId="1" fillId="3" borderId="20" xfId="0" applyFont="1" applyFill="1" applyBorder="1" applyAlignment="1" applyProtection="1">
      <alignment horizontal="center" vertical="top" wrapText="1"/>
      <protection hidden="1"/>
    </xf>
    <xf numFmtId="0" fontId="1" fillId="3" borderId="21" xfId="0" applyFont="1" applyFill="1" applyBorder="1" applyAlignment="1" applyProtection="1">
      <alignment horizontal="center" vertical="top" wrapText="1"/>
      <protection hidden="1"/>
    </xf>
    <xf numFmtId="0" fontId="3" fillId="0" borderId="48" xfId="0" applyFont="1" applyFill="1" applyBorder="1" applyAlignment="1" applyProtection="1">
      <alignment horizontal="left" vertical="center" wrapText="1"/>
      <protection hidden="1"/>
    </xf>
    <xf numFmtId="0" fontId="3" fillId="0" borderId="73" xfId="0" applyFont="1" applyFill="1" applyBorder="1" applyAlignment="1" applyProtection="1">
      <alignment horizontal="left" vertical="top" wrapText="1"/>
      <protection hidden="1"/>
    </xf>
    <xf numFmtId="0" fontId="3" fillId="0" borderId="74" xfId="0" applyFont="1" applyFill="1" applyBorder="1" applyAlignment="1" applyProtection="1">
      <alignment horizontal="left" vertical="top" wrapText="1"/>
      <protection hidden="1"/>
    </xf>
    <xf numFmtId="0" fontId="3" fillId="0" borderId="40" xfId="0" applyFont="1" applyFill="1" applyBorder="1" applyAlignment="1" applyProtection="1">
      <alignment horizontal="left" vertical="center" wrapText="1"/>
      <protection hidden="1"/>
    </xf>
    <xf numFmtId="0" fontId="2" fillId="0" borderId="75" xfId="0" applyFont="1" applyBorder="1" applyAlignment="1">
      <alignment horizontal="left"/>
    </xf>
    <xf numFmtId="0" fontId="2" fillId="0" borderId="76" xfId="0" applyFont="1" applyBorder="1" applyAlignment="1">
      <alignment horizontal="left"/>
    </xf>
    <xf numFmtId="182" fontId="3" fillId="0" borderId="77" xfId="9" applyFont="1" applyFill="1" applyBorder="1" applyAlignment="1" applyProtection="1">
      <alignment horizontal="center" vertical="center" wrapText="1"/>
      <protection hidden="1"/>
    </xf>
    <xf numFmtId="0" fontId="2" fillId="0" borderId="7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2" xfId="0" applyFont="1" applyBorder="1" applyAlignment="1">
      <alignment horizontal="left"/>
    </xf>
    <xf numFmtId="0" fontId="2" fillId="0" borderId="53" xfId="0" applyFont="1" applyBorder="1" applyAlignment="1">
      <alignment horizontal="left"/>
    </xf>
    <xf numFmtId="182" fontId="3" fillId="0" borderId="65" xfId="9" applyFont="1" applyFill="1" applyBorder="1" applyAlignment="1" applyProtection="1">
      <alignment horizontal="center" vertical="center" wrapText="1"/>
      <protection hidden="1"/>
    </xf>
    <xf numFmtId="0" fontId="3" fillId="0" borderId="41" xfId="0" applyFont="1" applyFill="1" applyBorder="1" applyAlignment="1" applyProtection="1">
      <alignment horizontal="left" vertical="center" wrapText="1"/>
      <protection hidden="1"/>
    </xf>
    <xf numFmtId="0" fontId="2" fillId="0" borderId="54" xfId="0" applyFont="1" applyBorder="1" applyAlignment="1">
      <alignment horizontal="left"/>
    </xf>
    <xf numFmtId="0" fontId="2" fillId="0" borderId="55" xfId="0" applyFont="1" applyBorder="1" applyAlignment="1">
      <alignment horizontal="left"/>
    </xf>
    <xf numFmtId="182" fontId="3" fillId="0" borderId="79" xfId="9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3" fillId="0" borderId="80" xfId="0" applyFont="1" applyFill="1" applyBorder="1" applyAlignment="1" applyProtection="1">
      <alignment horizontal="left" vertical="center" wrapText="1"/>
      <protection hidden="1"/>
    </xf>
    <xf numFmtId="0" fontId="3" fillId="0" borderId="81" xfId="0" applyFont="1" applyFill="1" applyBorder="1" applyAlignment="1" applyProtection="1">
      <alignment horizontal="left" vertical="center" wrapText="1"/>
      <protection hidden="1"/>
    </xf>
    <xf numFmtId="0" fontId="3" fillId="0" borderId="82" xfId="0" applyFont="1" applyFill="1" applyBorder="1" applyAlignment="1" applyProtection="1">
      <alignment horizontal="left" vertical="center" wrapText="1"/>
      <protection hidden="1"/>
    </xf>
    <xf numFmtId="182" fontId="6" fillId="0" borderId="77" xfId="9" applyFont="1" applyFill="1" applyBorder="1" applyAlignment="1" applyProtection="1">
      <alignment horizontal="center" vertical="center" wrapText="1"/>
      <protection hidden="1"/>
    </xf>
    <xf numFmtId="182" fontId="1" fillId="3" borderId="21" xfId="9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/>
    </xf>
    <xf numFmtId="0" fontId="3" fillId="0" borderId="1" xfId="0" applyFont="1" applyBorder="1" applyAlignment="1" applyProtection="1">
      <alignment horizontal="left" vertical="top" wrapText="1"/>
      <protection hidden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83" xfId="0" applyFont="1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182" fontId="1" fillId="0" borderId="10" xfId="9" applyFont="1" applyFill="1" applyBorder="1" applyAlignment="1" applyProtection="1">
      <alignment horizontal="center" vertical="center" wrapText="1"/>
      <protection hidden="1"/>
    </xf>
    <xf numFmtId="0" fontId="2" fillId="0" borderId="33" xfId="0" applyFont="1" applyFill="1" applyBorder="1" applyAlignment="1" applyProtection="1">
      <alignment horizontal="left" vertical="center" wrapText="1"/>
      <protection hidden="1"/>
    </xf>
    <xf numFmtId="182" fontId="2" fillId="0" borderId="84" xfId="9" applyFont="1" applyFill="1" applyBorder="1" applyAlignment="1" applyProtection="1">
      <alignment horizontal="center" vertical="center" wrapText="1"/>
      <protection hidden="1"/>
    </xf>
    <xf numFmtId="182" fontId="4" fillId="3" borderId="21" xfId="0" applyNumberFormat="1" applyFont="1" applyFill="1" applyBorder="1" applyAlignment="1" applyProtection="1">
      <alignment horizontal="center" vertical="center" wrapText="1"/>
      <protection hidden="1"/>
    </xf>
    <xf numFmtId="0" fontId="3" fillId="5" borderId="19" xfId="0" applyFont="1" applyFill="1" applyBorder="1" applyAlignment="1" applyProtection="1">
      <alignment horizontal="center" vertical="center" wrapText="1"/>
      <protection hidden="1"/>
    </xf>
    <xf numFmtId="0" fontId="3" fillId="5" borderId="20" xfId="0" applyFont="1" applyFill="1" applyBorder="1" applyAlignment="1" applyProtection="1">
      <alignment horizontal="center" vertical="center"/>
      <protection hidden="1"/>
    </xf>
    <xf numFmtId="0" fontId="3" fillId="5" borderId="21" xfId="0" applyFont="1" applyFill="1" applyBorder="1" applyAlignment="1" applyProtection="1">
      <alignment horizontal="center" vertical="center"/>
      <protection hidden="1"/>
    </xf>
    <xf numFmtId="182" fontId="3" fillId="6" borderId="85" xfId="9" applyFont="1" applyFill="1" applyBorder="1" applyAlignment="1" applyProtection="1">
      <alignment horizontal="center" vertical="center" wrapText="1"/>
      <protection hidden="1"/>
    </xf>
    <xf numFmtId="182" fontId="3" fillId="6" borderId="86" xfId="9" applyFont="1" applyFill="1" applyBorder="1" applyAlignment="1" applyProtection="1">
      <alignment horizontal="center" vertical="center" wrapText="1"/>
      <protection hidden="1"/>
    </xf>
    <xf numFmtId="0" fontId="3" fillId="5" borderId="35" xfId="0" applyFont="1" applyFill="1" applyBorder="1" applyAlignment="1" applyProtection="1">
      <alignment horizontal="center" vertical="center" wrapText="1"/>
      <protection hidden="1"/>
    </xf>
    <xf numFmtId="0" fontId="3" fillId="5" borderId="29" xfId="0" applyFont="1" applyFill="1" applyBorder="1" applyAlignment="1" applyProtection="1">
      <alignment horizontal="center" vertical="center" wrapText="1"/>
      <protection hidden="1"/>
    </xf>
    <xf numFmtId="0" fontId="3" fillId="5" borderId="21" xfId="0" applyFont="1" applyFill="1" applyBorder="1" applyAlignment="1" applyProtection="1">
      <alignment horizontal="center" vertical="center" wrapText="1"/>
      <protection hidden="1"/>
    </xf>
    <xf numFmtId="182" fontId="3" fillId="5" borderId="19" xfId="9" applyFont="1" applyFill="1" applyBorder="1" applyAlignment="1" applyProtection="1">
      <alignment horizontal="center" vertical="center" wrapText="1"/>
      <protection hidden="1"/>
    </xf>
    <xf numFmtId="186" fontId="2" fillId="0" borderId="0" xfId="0" applyNumberFormat="1" applyFont="1"/>
    <xf numFmtId="0" fontId="1" fillId="3" borderId="6" xfId="0" applyFont="1" applyFill="1" applyBorder="1" applyAlignment="1" applyProtection="1">
      <alignment horizontal="center" vertical="center" wrapText="1"/>
      <protection hidden="1"/>
    </xf>
    <xf numFmtId="0" fontId="3" fillId="0" borderId="87" xfId="0" applyFont="1" applyBorder="1" applyAlignment="1" applyProtection="1">
      <alignment horizontal="center" vertical="center" wrapText="1"/>
      <protection hidden="1"/>
    </xf>
    <xf numFmtId="0" fontId="3" fillId="0" borderId="88" xfId="0" applyFont="1" applyFill="1" applyBorder="1" applyAlignment="1" applyProtection="1">
      <alignment horizontal="left" vertical="center" wrapText="1"/>
      <protection hidden="1"/>
    </xf>
    <xf numFmtId="0" fontId="1" fillId="3" borderId="89" xfId="0" applyFont="1" applyFill="1" applyBorder="1" applyAlignment="1" applyProtection="1">
      <alignment horizontal="center" vertical="center" wrapText="1"/>
      <protection hidden="1"/>
    </xf>
    <xf numFmtId="0" fontId="1" fillId="3" borderId="90" xfId="0" applyFont="1" applyFill="1" applyBorder="1" applyAlignment="1" applyProtection="1">
      <alignment horizontal="center" vertical="center" wrapText="1"/>
      <protection hidden="1"/>
    </xf>
    <xf numFmtId="0" fontId="1" fillId="5" borderId="89" xfId="0" applyFont="1" applyFill="1" applyBorder="1" applyAlignment="1" applyProtection="1">
      <alignment horizontal="center" vertical="center" wrapText="1"/>
      <protection hidden="1"/>
    </xf>
    <xf numFmtId="0" fontId="1" fillId="5" borderId="90" xfId="0" applyFont="1" applyFill="1" applyBorder="1" applyAlignment="1" applyProtection="1">
      <alignment horizontal="center" vertical="center" wrapText="1"/>
      <protection hidden="1"/>
    </xf>
    <xf numFmtId="0" fontId="3" fillId="9" borderId="36" xfId="0" applyFont="1" applyFill="1" applyBorder="1" applyAlignment="1" applyProtection="1">
      <alignment vertical="center" wrapText="1"/>
      <protection hidden="1"/>
    </xf>
    <xf numFmtId="0" fontId="4" fillId="0" borderId="0" xfId="0" applyFont="1" applyAlignment="1">
      <alignment horizontal="left" vertical="top" wrapText="1"/>
    </xf>
    <xf numFmtId="187" fontId="2" fillId="0" borderId="0" xfId="0" applyNumberFormat="1" applyFont="1"/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182" fontId="1" fillId="0" borderId="0" xfId="9" applyFont="1" applyFill="1" applyBorder="1" applyAlignment="1" applyProtection="1">
      <alignment horizontal="left" vertical="center" wrapText="1"/>
      <protection hidden="1"/>
    </xf>
    <xf numFmtId="0" fontId="10" fillId="0" borderId="23" xfId="0" applyFont="1" applyFill="1" applyBorder="1" applyAlignment="1" applyProtection="1">
      <alignment horizontal="left" vertical="top" wrapText="1"/>
      <protection hidden="1"/>
    </xf>
    <xf numFmtId="182" fontId="3" fillId="0" borderId="24" xfId="9" applyFont="1" applyFill="1" applyBorder="1" applyAlignment="1" applyProtection="1">
      <alignment horizontal="left" vertical="center" wrapText="1"/>
      <protection hidden="1"/>
    </xf>
    <xf numFmtId="0" fontId="3" fillId="0" borderId="33" xfId="0" applyFont="1" applyFill="1" applyBorder="1" applyAlignment="1" applyProtection="1">
      <alignment horizontal="left" vertical="top" wrapText="1"/>
      <protection hidden="1"/>
    </xf>
    <xf numFmtId="182" fontId="3" fillId="0" borderId="84" xfId="9" applyFont="1" applyFill="1" applyBorder="1" applyAlignment="1" applyProtection="1">
      <alignment horizontal="left" vertical="center" wrapText="1"/>
      <protection hidden="1"/>
    </xf>
    <xf numFmtId="176" fontId="3" fillId="0" borderId="24" xfId="74" applyFont="1" applyFill="1" applyBorder="1" applyAlignment="1" applyProtection="1">
      <alignment horizontal="center" vertical="center" wrapText="1"/>
      <protection hidden="1"/>
    </xf>
    <xf numFmtId="176" fontId="3" fillId="0" borderId="77" xfId="74" applyFont="1" applyFill="1" applyBorder="1" applyAlignment="1" applyProtection="1">
      <alignment horizontal="center" vertical="center" wrapText="1"/>
      <protection hidden="1"/>
    </xf>
    <xf numFmtId="10" fontId="2" fillId="0" borderId="0" xfId="0" applyNumberFormat="1" applyFont="1"/>
    <xf numFmtId="0" fontId="2" fillId="0" borderId="0" xfId="0" applyFont="1" applyAlignment="1">
      <alignment horizontal="center"/>
    </xf>
    <xf numFmtId="176" fontId="3" fillId="0" borderId="84" xfId="74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>
      <alignment horizontal="left" vertical="top"/>
    </xf>
    <xf numFmtId="0" fontId="1" fillId="3" borderId="20" xfId="0" applyFont="1" applyFill="1" applyBorder="1" applyAlignment="1" applyProtection="1">
      <alignment horizontal="center" vertical="center"/>
      <protection hidden="1"/>
    </xf>
    <xf numFmtId="0" fontId="1" fillId="3" borderId="29" xfId="0" applyFont="1" applyFill="1" applyBorder="1" applyAlignment="1" applyProtection="1">
      <alignment horizontal="center" vertical="center"/>
      <protection hidden="1"/>
    </xf>
    <xf numFmtId="0" fontId="1" fillId="3" borderId="21" xfId="0" applyFont="1" applyFill="1" applyBorder="1" applyAlignment="1" applyProtection="1">
      <alignment horizontal="center" vertical="center"/>
      <protection hidden="1"/>
    </xf>
    <xf numFmtId="0" fontId="2" fillId="0" borderId="81" xfId="0" applyFont="1" applyBorder="1" applyAlignment="1">
      <alignment horizontal="left"/>
    </xf>
    <xf numFmtId="0" fontId="2" fillId="0" borderId="91" xfId="0" applyFont="1" applyBorder="1" applyAlignment="1">
      <alignment horizontal="left"/>
    </xf>
    <xf numFmtId="0" fontId="3" fillId="0" borderId="58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left"/>
    </xf>
    <xf numFmtId="0" fontId="1" fillId="0" borderId="56" xfId="0" applyFont="1" applyFill="1" applyBorder="1" applyAlignment="1" applyProtection="1">
      <alignment horizontal="center" vertical="center" wrapText="1"/>
      <protection hidden="1"/>
    </xf>
    <xf numFmtId="0" fontId="1" fillId="0" borderId="92" xfId="0" applyFont="1" applyFill="1" applyBorder="1" applyAlignment="1" applyProtection="1">
      <alignment horizontal="center" vertical="center" wrapText="1"/>
      <protection hidden="1"/>
    </xf>
    <xf numFmtId="0" fontId="1" fillId="0" borderId="53" xfId="0" applyFont="1" applyFill="1" applyBorder="1" applyAlignment="1" applyProtection="1">
      <alignment horizontal="center" vertical="center" wrapText="1"/>
      <protection hidden="1"/>
    </xf>
    <xf numFmtId="0" fontId="3" fillId="0" borderId="54" xfId="0" applyFont="1" applyFill="1" applyBorder="1" applyAlignment="1" applyProtection="1">
      <alignment horizontal="left" vertical="center" wrapText="1"/>
      <protection hidden="1"/>
    </xf>
    <xf numFmtId="0" fontId="3" fillId="0" borderId="93" xfId="0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Border="1"/>
    <xf numFmtId="0" fontId="11" fillId="0" borderId="0" xfId="0" applyFont="1"/>
    <xf numFmtId="0" fontId="11" fillId="0" borderId="0" xfId="0" applyFont="1" applyAlignment="1">
      <alignment horizontal="center" wrapText="1"/>
    </xf>
    <xf numFmtId="0" fontId="11" fillId="0" borderId="94" xfId="0" applyFont="1" applyBorder="1" applyAlignment="1">
      <alignment horizontal="center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center" vertical="center" wrapText="1"/>
    </xf>
    <xf numFmtId="0" fontId="12" fillId="10" borderId="2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26" xfId="0" applyFont="1" applyBorder="1" applyAlignment="1">
      <alignment horizontal="left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3" fillId="0" borderId="3" xfId="12" applyBorder="1" applyAlignment="1">
      <alignment horizontal="left"/>
    </xf>
    <xf numFmtId="0" fontId="13" fillId="0" borderId="4" xfId="12" applyBorder="1" applyAlignment="1">
      <alignment horizontal="left"/>
    </xf>
    <xf numFmtId="0" fontId="13" fillId="0" borderId="26" xfId="12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3" fillId="2" borderId="92" xfId="0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center" vertical="center"/>
    </xf>
    <xf numFmtId="188" fontId="11" fillId="0" borderId="3" xfId="9" applyNumberFormat="1" applyFont="1" applyBorder="1" applyAlignment="1">
      <alignment horizontal="center" vertical="center"/>
    </xf>
    <xf numFmtId="182" fontId="11" fillId="0" borderId="3" xfId="9" applyFont="1" applyBorder="1" applyAlignment="1">
      <alignment horizontal="center" vertical="center"/>
    </xf>
    <xf numFmtId="182" fontId="11" fillId="0" borderId="1" xfId="9" applyFont="1" applyBorder="1" applyAlignment="1">
      <alignment horizontal="center" vertical="center"/>
    </xf>
    <xf numFmtId="0" fontId="14" fillId="0" borderId="38" xfId="0" applyFont="1" applyBorder="1" applyAlignment="1" applyProtection="1">
      <alignment horizontal="center" vertical="center" wrapText="1"/>
      <protection hidden="1"/>
    </xf>
    <xf numFmtId="0" fontId="15" fillId="2" borderId="52" xfId="0" applyFont="1" applyFill="1" applyBorder="1" applyAlignment="1" applyProtection="1">
      <alignment horizontal="left" vertical="top" wrapText="1"/>
      <protection hidden="1"/>
    </xf>
    <xf numFmtId="0" fontId="14" fillId="11" borderId="3" xfId="0" applyFont="1" applyFill="1" applyBorder="1" applyAlignment="1" applyProtection="1">
      <alignment horizontal="center" vertical="center" wrapText="1"/>
      <protection hidden="1"/>
    </xf>
    <xf numFmtId="0" fontId="14" fillId="11" borderId="4" xfId="0" applyFont="1" applyFill="1" applyBorder="1" applyAlignment="1" applyProtection="1">
      <alignment horizontal="center" vertical="center" wrapText="1"/>
      <protection hidden="1"/>
    </xf>
    <xf numFmtId="0" fontId="14" fillId="11" borderId="26" xfId="0" applyFont="1" applyFill="1" applyBorder="1" applyAlignment="1" applyProtection="1">
      <alignment horizontal="center" vertical="center" wrapText="1"/>
      <protection hidden="1"/>
    </xf>
    <xf numFmtId="182" fontId="11" fillId="11" borderId="1" xfId="9" applyFont="1" applyFill="1" applyBorder="1" applyAlignment="1">
      <alignment horizontal="center"/>
    </xf>
    <xf numFmtId="189" fontId="11" fillId="0" borderId="0" xfId="0" applyNumberFormat="1" applyFont="1"/>
    <xf numFmtId="2" fontId="11" fillId="0" borderId="0" xfId="0" applyNumberFormat="1" applyFont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6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center" wrapText="1"/>
    </xf>
    <xf numFmtId="0" fontId="11" fillId="0" borderId="3" xfId="0" applyFont="1" applyBorder="1"/>
    <xf numFmtId="0" fontId="11" fillId="0" borderId="4" xfId="0" applyFont="1" applyBorder="1"/>
    <xf numFmtId="0" fontId="11" fillId="0" borderId="26" xfId="0" applyFont="1" applyBorder="1"/>
    <xf numFmtId="0" fontId="12" fillId="10" borderId="85" xfId="0" applyFont="1" applyFill="1" applyBorder="1" applyAlignment="1">
      <alignment horizontal="center" vertical="center" wrapText="1"/>
    </xf>
    <xf numFmtId="0" fontId="12" fillId="10" borderId="94" xfId="0" applyFont="1" applyFill="1" applyBorder="1" applyAlignment="1">
      <alignment horizontal="center" vertical="center" wrapText="1"/>
    </xf>
    <xf numFmtId="0" fontId="12" fillId="10" borderId="9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wrapText="1"/>
    </xf>
    <xf numFmtId="0" fontId="15" fillId="0" borderId="26" xfId="0" applyFont="1" applyBorder="1" applyAlignment="1">
      <alignment horizontal="center" wrapText="1"/>
    </xf>
    <xf numFmtId="0" fontId="14" fillId="0" borderId="3" xfId="0" applyFont="1" applyBorder="1" applyAlignment="1">
      <alignment horizontal="center" vertical="center"/>
    </xf>
    <xf numFmtId="0" fontId="12" fillId="10" borderId="1" xfId="0" applyFont="1" applyFill="1" applyBorder="1" applyAlignment="1">
      <alignment vertical="center"/>
    </xf>
    <xf numFmtId="0" fontId="12" fillId="10" borderId="3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/>
    </xf>
    <xf numFmtId="0" fontId="12" fillId="10" borderId="26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82" fontId="0" fillId="0" borderId="0" xfId="9"/>
    <xf numFmtId="0" fontId="18" fillId="12" borderId="96" xfId="0" applyFont="1" applyFill="1" applyBorder="1" applyAlignment="1">
      <alignment horizontal="center" vertical="center" wrapText="1"/>
    </xf>
    <xf numFmtId="0" fontId="18" fillId="12" borderId="97" xfId="0" applyFont="1" applyFill="1" applyBorder="1" applyAlignment="1">
      <alignment horizontal="center" vertical="center" wrapText="1"/>
    </xf>
    <xf numFmtId="182" fontId="18" fillId="12" borderId="97" xfId="9" applyNumberFormat="1" applyFont="1" applyFill="1" applyBorder="1" applyAlignment="1">
      <alignment horizontal="center" vertical="center" wrapText="1"/>
    </xf>
    <xf numFmtId="0" fontId="19" fillId="13" borderId="98" xfId="0" applyFont="1" applyFill="1" applyBorder="1" applyAlignment="1">
      <alignment horizontal="center"/>
    </xf>
    <xf numFmtId="0" fontId="19" fillId="13" borderId="99" xfId="0" applyFont="1" applyFill="1" applyBorder="1" applyAlignment="1">
      <alignment horizontal="center"/>
    </xf>
    <xf numFmtId="182" fontId="0" fillId="13" borderId="98" xfId="9" applyFill="1" applyBorder="1" applyAlignment="1">
      <alignment horizontal="center"/>
    </xf>
    <xf numFmtId="182" fontId="0" fillId="13" borderId="99" xfId="9" applyFill="1" applyBorder="1" applyAlignment="1">
      <alignment horizontal="center"/>
    </xf>
    <xf numFmtId="0" fontId="19" fillId="14" borderId="98" xfId="0" applyFont="1" applyFill="1" applyBorder="1" applyAlignment="1">
      <alignment horizontal="center"/>
    </xf>
    <xf numFmtId="0" fontId="19" fillId="14" borderId="99" xfId="0" applyFont="1" applyFill="1" applyBorder="1" applyAlignment="1">
      <alignment horizontal="center"/>
    </xf>
    <xf numFmtId="182" fontId="0" fillId="14" borderId="98" xfId="9" applyFill="1" applyBorder="1" applyAlignment="1">
      <alignment horizontal="center"/>
    </xf>
    <xf numFmtId="182" fontId="0" fillId="14" borderId="99" xfId="9" applyFill="1" applyBorder="1" applyAlignment="1">
      <alignment horizontal="center"/>
    </xf>
    <xf numFmtId="0" fontId="18" fillId="12" borderId="10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82" fontId="0" fillId="0" borderId="0" xfId="9" applyAlignment="1">
      <alignment horizontal="center"/>
    </xf>
    <xf numFmtId="0" fontId="0" fillId="0" borderId="0" xfId="0" applyAlignment="1">
      <alignment horizontal="center" vertical="center" wrapText="1"/>
    </xf>
    <xf numFmtId="182" fontId="0" fillId="0" borderId="0" xfId="9" applyAlignment="1">
      <alignment horizontal="center" vertical="center" wrapText="1"/>
    </xf>
    <xf numFmtId="0" fontId="19" fillId="13" borderId="98" xfId="0" applyFont="1" applyFill="1" applyBorder="1" applyAlignment="1">
      <alignment horizontal="center" vertical="center" wrapText="1"/>
    </xf>
    <xf numFmtId="0" fontId="19" fillId="14" borderId="101" xfId="0" applyFont="1" applyFill="1" applyBorder="1" applyAlignment="1">
      <alignment horizontal="center" vertical="center" wrapText="1"/>
    </xf>
    <xf numFmtId="0" fontId="19" fillId="14" borderId="0" xfId="0" applyFont="1" applyFill="1" applyBorder="1" applyAlignment="1">
      <alignment horizontal="center" vertical="center" wrapText="1"/>
    </xf>
    <xf numFmtId="182" fontId="0" fillId="0" borderId="0" xfId="0" applyNumberFormat="1" applyAlignment="1">
      <alignment horizontal="center"/>
    </xf>
  </cellXfs>
  <cellStyles count="76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Moeda 2 2" xfId="10"/>
    <cellStyle name="Hyperlink seguido" xfId="11" builtinId="9"/>
    <cellStyle name="Hyperlink" xfId="12" builtinId="8"/>
    <cellStyle name="Observação" xfId="13" builtinId="10"/>
    <cellStyle name="40% - Ênfase 2" xfId="14" builtinId="35"/>
    <cellStyle name="Normal 2" xfId="15"/>
    <cellStyle name="40% - Ênfase 6" xfId="16" builtinId="51"/>
    <cellStyle name="Texto de Aviso" xfId="17" builtinId="11"/>
    <cellStyle name="Título" xfId="18" builtinId="15"/>
    <cellStyle name="Texto Explicativo" xfId="19" builtinId="53"/>
    <cellStyle name="Moeda 4" xfId="20"/>
    <cellStyle name="Título 1" xfId="21" builtinId="16"/>
    <cellStyle name="Ênfase 3" xfId="22" builtinId="37"/>
    <cellStyle name="Título 2" xfId="23" builtinId="17"/>
    <cellStyle name="Ênfase 4" xfId="24" builtinId="41"/>
    <cellStyle name="Título 3" xfId="25" builtinId="18"/>
    <cellStyle name="Ênfase 5" xfId="26" builtinId="45"/>
    <cellStyle name="Título 4" xfId="27" builtinId="19"/>
    <cellStyle name="Ênfase 6" xfId="28" builtinId="49"/>
    <cellStyle name="Entrada" xfId="29" builtinId="20"/>
    <cellStyle name="Saída" xfId="30" builtinId="21"/>
    <cellStyle name="Cálculo" xfId="31" builtinId="22"/>
    <cellStyle name="Total" xfId="32" builtinId="25"/>
    <cellStyle name="40% - Ênfase 1" xfId="33" builtinId="31"/>
    <cellStyle name="Bom" xfId="34" builtinId="26"/>
    <cellStyle name="Ruim" xfId="35" builtinId="27"/>
    <cellStyle name="Neutro" xfId="36" builtinId="28"/>
    <cellStyle name="Moeda 2" xfId="37"/>
    <cellStyle name="Heading" xfId="38"/>
    <cellStyle name="20% - Ênfase 5" xfId="39" builtinId="46"/>
    <cellStyle name="Ênfase 1" xfId="40" builtinId="29"/>
    <cellStyle name="20% - Ênfase 1" xfId="41" builtinId="30"/>
    <cellStyle name="60% - Ênfase 1" xfId="42" builtinId="32"/>
    <cellStyle name="Moeda 3" xfId="43"/>
    <cellStyle name="Heading1" xfId="44"/>
    <cellStyle name="20% - Ênfase 6" xfId="45" builtinId="50"/>
    <cellStyle name="Ênfase 2" xfId="46" builtinId="33"/>
    <cellStyle name="20% - Ênfase 2" xfId="47" builtinId="34"/>
    <cellStyle name="60% - Ênfase 2" xfId="48" builtinId="36"/>
    <cellStyle name="40% - Ênfase 3" xfId="49" builtinId="39"/>
    <cellStyle name="Normal 10" xfId="50"/>
    <cellStyle name="Excel Built-in Normal" xfId="51"/>
    <cellStyle name="60% - Ênfase 3" xfId="52" builtinId="40"/>
    <cellStyle name="20% - Ênfase 4" xfId="53" builtinId="42"/>
    <cellStyle name="60% - Ênfase 4" xfId="54" builtinId="44"/>
    <cellStyle name="40% - Ênfase 5" xfId="55" builtinId="47"/>
    <cellStyle name="60% - Ênfase 5" xfId="56" builtinId="48"/>
    <cellStyle name="60% - Ênfase 6" xfId="57" builtinId="52"/>
    <cellStyle name="Excel Built-in Comma" xfId="58"/>
    <cellStyle name="Hiperlink 2" xfId="59"/>
    <cellStyle name="Excel Built-in Normal 2" xfId="60"/>
    <cellStyle name="Normal 2 2" xfId="61"/>
    <cellStyle name="Normal 3" xfId="62"/>
    <cellStyle name="Normal 4" xfId="63"/>
    <cellStyle name="Normal 5" xfId="64"/>
    <cellStyle name="Normal 6" xfId="65"/>
    <cellStyle name="Porcentagem 2" xfId="66"/>
    <cellStyle name="Porcentagem 2 2" xfId="67"/>
    <cellStyle name="Porcentagem 3" xfId="68"/>
    <cellStyle name="Result" xfId="69"/>
    <cellStyle name="Result2" xfId="70"/>
    <cellStyle name="Separador de milhares 2" xfId="71"/>
    <cellStyle name="Vírgula 2" xfId="72"/>
    <cellStyle name="Vírgula 3" xfId="73"/>
    <cellStyle name="Vírgula 4" xfId="74"/>
    <cellStyle name="Vírgula 5" xfId="75"/>
  </cellStyles>
  <dxfs count="17">
    <dxf>
      <alignment horizontal="center" vertical="center"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E:\Users\UFPE\Downloads\ANEXO IX MODELO DE PLANILHAS DE CUSTOS E FORMA&#199;&#195;O DE PRE&#199;OS OPERADOR DE M&#193;QUINA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DELO DA PROPOSTA"/>
      <sheetName val="OPERADOR DE MÁQUINA"/>
      <sheetName val="MOTORISTA"/>
      <sheetName val="RESUMO"/>
      <sheetName val="INSUMOS  OP MAQ "/>
      <sheetName val="INSUMOS  MOTORIS"/>
    </sheetNames>
    <sheetDataSet>
      <sheetData sheetId="0"/>
      <sheetData sheetId="1"/>
      <sheetData sheetId="2"/>
      <sheetData sheetId="3"/>
      <sheetData sheetId="4">
        <row r="26">
          <cell r="I26">
            <v>0</v>
          </cell>
        </row>
      </sheetData>
      <sheetData sheetId="5"/>
    </sheetDataSet>
  </externalBook>
</externalLink>
</file>

<file path=xl/tables/table1.xml><?xml version="1.0" encoding="utf-8"?>
<table xmlns="http://schemas.openxmlformats.org/spreadsheetml/2006/main" id="1" name="Tabela1" displayName="Tabela1" ref="B1:R3" totalsRowShown="0">
  <autoFilter ref="B1:R3"/>
  <tableColumns count="17">
    <tableColumn id="1" name="Nome" dataDxfId="0"/>
    <tableColumn id="2" name="Posto" dataDxfId="1"/>
    <tableColumn id="5" name="13º salário" dataDxfId="2"/>
    <tableColumn id="6" name="Férias" dataDxfId="3"/>
    <tableColumn id="7" name="Adicional de férias" dataDxfId="4"/>
    <tableColumn id="8" name="API" dataDxfId="5"/>
    <tableColumn id="9" name="FGTS sobre API" dataDxfId="6"/>
    <tableColumn id="10" name="Multa FGTS e contribuições sociais sobre API" dataDxfId="7"/>
    <tableColumn id="11" name="APT" dataDxfId="8"/>
    <tableColumn id="12" name="GPS, FGTS e contribuições sobre APT" dataDxfId="9"/>
    <tableColumn id="13" name="Multa FGTS e contribuições sobre APT" dataDxfId="10"/>
    <tableColumn id="14" name="Substituto Férias" dataDxfId="11"/>
    <tableColumn id="15" name="Substituto Ausências legais" dataDxfId="12"/>
    <tableColumn id="16" name="Substituto licença-paternidade" dataDxfId="13"/>
    <tableColumn id="17" name="Substituto acidente de trabalho" dataDxfId="14"/>
    <tableColumn id="18" name="Substituto licença maternidade" dataDxfId="15"/>
    <tableColumn id="19" name="Total" dataDxfId="16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"/>
  <sheetViews>
    <sheetView workbookViewId="0">
      <pane xSplit="3" ySplit="1" topLeftCell="E2" activePane="bottomRight" state="frozen"/>
      <selection/>
      <selection pane="topRight"/>
      <selection pane="bottomLeft"/>
      <selection pane="bottomRight" activeCell="I1" sqref="I1"/>
    </sheetView>
  </sheetViews>
  <sheetFormatPr defaultColWidth="9" defaultRowHeight="14.5" outlineLevelRow="7"/>
  <cols>
    <col min="1" max="1" width="10.7090909090909" style="348" customWidth="1"/>
    <col min="2" max="2" width="20" style="348" customWidth="1"/>
    <col min="3" max="3" width="28.8545454545455" style="348" customWidth="1"/>
    <col min="4" max="4" width="14.5727272727273" style="349" customWidth="1"/>
    <col min="5" max="5" width="12.2818181818182" style="349" customWidth="1"/>
    <col min="6" max="6" width="15.1363636363636" style="349" customWidth="1"/>
    <col min="7" max="7" width="10.8545454545455" style="348" customWidth="1"/>
    <col min="8" max="8" width="12.4272727272727" style="348" customWidth="1"/>
    <col min="9" max="9" width="19.8545454545455" style="348" customWidth="1"/>
    <col min="10" max="12" width="16.4272727272727" style="348" customWidth="1"/>
    <col min="13" max="13" width="11.5727272727273" style="348" customWidth="1"/>
    <col min="14" max="14" width="13.2818181818182" style="348" customWidth="1"/>
    <col min="15" max="15" width="13" style="348" customWidth="1"/>
    <col min="16" max="16" width="12.7090909090909" style="348" customWidth="1"/>
    <col min="17" max="17" width="13.5727272727273" style="348" customWidth="1"/>
    <col min="18" max="18" width="13.2818181818182" style="348" customWidth="1"/>
    <col min="19" max="16384" width="9.13636363636364" style="348"/>
  </cols>
  <sheetData>
    <row r="1" s="347" customFormat="1" ht="45" customHeight="1" spans="1:18">
      <c r="A1" s="335" t="s">
        <v>0</v>
      </c>
      <c r="B1" s="350" t="s">
        <v>1</v>
      </c>
      <c r="C1" s="350" t="s">
        <v>2</v>
      </c>
      <c r="D1" s="351" t="s">
        <v>3</v>
      </c>
      <c r="E1" s="351" t="s">
        <v>4</v>
      </c>
      <c r="F1" s="351" t="s">
        <v>5</v>
      </c>
      <c r="G1" s="350" t="s">
        <v>6</v>
      </c>
      <c r="H1" s="350" t="s">
        <v>7</v>
      </c>
      <c r="I1" s="350" t="s">
        <v>8</v>
      </c>
      <c r="J1" s="350" t="s">
        <v>9</v>
      </c>
      <c r="K1" s="350" t="s">
        <v>10</v>
      </c>
      <c r="L1" s="350" t="s">
        <v>11</v>
      </c>
      <c r="M1" s="350" t="s">
        <v>12</v>
      </c>
      <c r="N1" s="350" t="s">
        <v>13</v>
      </c>
      <c r="O1" s="350" t="s">
        <v>14</v>
      </c>
      <c r="P1" s="350" t="s">
        <v>15</v>
      </c>
      <c r="Q1" s="350" t="s">
        <v>16</v>
      </c>
      <c r="R1" s="350" t="s">
        <v>17</v>
      </c>
    </row>
    <row r="2" ht="15" customHeight="1" outlineLevel="1" spans="1:18">
      <c r="A2" s="352" t="s">
        <v>18</v>
      </c>
      <c r="B2" s="350" t="s">
        <v>19</v>
      </c>
      <c r="C2" s="348" t="s">
        <v>20</v>
      </c>
      <c r="D2" s="349">
        <v>149.32498050624</v>
      </c>
      <c r="E2" s="349">
        <v>149.32498050624</v>
      </c>
      <c r="F2" s="349">
        <v>49.83474739584</v>
      </c>
      <c r="G2" s="349">
        <v>13.444626096</v>
      </c>
      <c r="H2" s="349">
        <v>1.07557008768</v>
      </c>
      <c r="I2" s="349">
        <v>61.66601836032</v>
      </c>
      <c r="J2" s="349">
        <v>69.7328760533333</v>
      </c>
      <c r="K2" s="349">
        <v>24.91737369792</v>
      </c>
      <c r="L2" s="349">
        <v>0.71704672512</v>
      </c>
      <c r="M2" s="349">
        <v>149.32</v>
      </c>
      <c r="N2" s="349">
        <v>14.69945786496</v>
      </c>
      <c r="O2" s="349">
        <v>0.35852336256</v>
      </c>
      <c r="P2" s="349">
        <v>2.33040185664</v>
      </c>
      <c r="Q2" s="349">
        <v>0.53778504384</v>
      </c>
      <c r="R2" s="349">
        <f>SUM(Tabela1[[#This Row],[13º salário]:[Substituto licença maternidade]])</f>
        <v>687.284387556693</v>
      </c>
    </row>
    <row r="3" outlineLevel="1" spans="1:18">
      <c r="A3" s="353" t="s">
        <v>18</v>
      </c>
      <c r="B3" s="350" t="s">
        <v>21</v>
      </c>
      <c r="C3" s="348" t="s">
        <v>22</v>
      </c>
      <c r="D3" s="349">
        <v>124.437705</v>
      </c>
      <c r="E3" s="349">
        <v>124.437705</v>
      </c>
      <c r="F3" s="349">
        <v>41.52903</v>
      </c>
      <c r="G3" s="349">
        <v>11.203875</v>
      </c>
      <c r="H3" s="349">
        <v>0.89631</v>
      </c>
      <c r="I3" s="349">
        <v>51.38844</v>
      </c>
      <c r="J3" s="349">
        <v>58.1141666666667</v>
      </c>
      <c r="K3" s="349">
        <v>20.764515</v>
      </c>
      <c r="L3" s="349">
        <v>0.59754</v>
      </c>
      <c r="M3" s="349">
        <v>124.437705</v>
      </c>
      <c r="N3" s="349">
        <v>12.24957</v>
      </c>
      <c r="O3" s="349">
        <v>0.29877</v>
      </c>
      <c r="P3" s="349">
        <v>1.942005</v>
      </c>
      <c r="Q3" s="349">
        <v>0.448155</v>
      </c>
      <c r="R3" s="349">
        <f>SUM(Tabela1[[#This Row],[13º salário]:[Substituto licença maternidade]])</f>
        <v>572.745491666667</v>
      </c>
    </row>
    <row r="4" s="348" customFormat="1" outlineLevel="1" spans="1:18">
      <c r="A4" s="352" t="s">
        <v>23</v>
      </c>
      <c r="B4" s="350" t="s">
        <v>19</v>
      </c>
      <c r="C4" s="348" t="s">
        <v>20</v>
      </c>
      <c r="D4" s="349">
        <v>149.32498050624</v>
      </c>
      <c r="E4" s="349">
        <v>149.32498050624</v>
      </c>
      <c r="F4" s="349">
        <v>49.83474739584</v>
      </c>
      <c r="G4" s="349">
        <v>13.444626096</v>
      </c>
      <c r="H4" s="349">
        <v>1.07557008768</v>
      </c>
      <c r="I4" s="349">
        <v>61.66601836032</v>
      </c>
      <c r="J4" s="349">
        <v>69.7328760533333</v>
      </c>
      <c r="K4" s="349">
        <v>24.91737369792</v>
      </c>
      <c r="L4" s="349">
        <v>0.71704672512</v>
      </c>
      <c r="M4" s="349">
        <v>149.32</v>
      </c>
      <c r="N4" s="349">
        <v>14.69945786496</v>
      </c>
      <c r="O4" s="349">
        <v>0.35852336256</v>
      </c>
      <c r="P4" s="349">
        <v>2.33040185664</v>
      </c>
      <c r="Q4" s="349">
        <v>0.53778504384</v>
      </c>
      <c r="R4" s="349">
        <f>SUM(D4:Q4)</f>
        <v>687.284387556693</v>
      </c>
    </row>
    <row r="5" s="348" customFormat="1" outlineLevel="1" spans="1:18">
      <c r="A5" s="353" t="s">
        <v>23</v>
      </c>
      <c r="B5" s="350" t="s">
        <v>21</v>
      </c>
      <c r="C5" s="348" t="s">
        <v>22</v>
      </c>
      <c r="D5" s="349">
        <v>124.437705</v>
      </c>
      <c r="E5" s="349">
        <v>124.437705</v>
      </c>
      <c r="F5" s="349">
        <v>41.52903</v>
      </c>
      <c r="G5" s="349">
        <v>11.203875</v>
      </c>
      <c r="H5" s="349">
        <v>0.89631</v>
      </c>
      <c r="I5" s="349">
        <v>51.38844</v>
      </c>
      <c r="J5" s="349">
        <v>58.1141666666667</v>
      </c>
      <c r="K5" s="349">
        <v>20.764515</v>
      </c>
      <c r="L5" s="349">
        <v>0.59754</v>
      </c>
      <c r="M5" s="349">
        <v>124.437705</v>
      </c>
      <c r="N5" s="349">
        <v>12.24957</v>
      </c>
      <c r="O5" s="349">
        <v>0.29877</v>
      </c>
      <c r="P5" s="349">
        <v>1.942005</v>
      </c>
      <c r="Q5" s="349">
        <v>0.448155</v>
      </c>
      <c r="R5" s="349">
        <f>SUM(D5:Q5)</f>
        <v>572.745491666667</v>
      </c>
    </row>
    <row r="6" s="348" customFormat="1" outlineLevel="1" spans="1:18">
      <c r="A6" s="354"/>
      <c r="B6" s="350"/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  <c r="O6" s="349"/>
      <c r="P6" s="349"/>
      <c r="Q6" s="349"/>
      <c r="R6" s="349"/>
    </row>
    <row r="7" s="348" customFormat="1" outlineLevel="1" spans="1:18">
      <c r="A7" s="354"/>
      <c r="B7" s="350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</row>
    <row r="8" outlineLevel="1" collapsed="1" spans="2:18">
      <c r="B8" s="348" t="s">
        <v>17</v>
      </c>
      <c r="D8" s="349">
        <f>SUM(Tabela1[13º salário])</f>
        <v>273.76268550624</v>
      </c>
      <c r="E8" s="349">
        <f>SUM(Tabela1[Férias])</f>
        <v>273.76268550624</v>
      </c>
      <c r="F8" s="349">
        <f>SUM(Tabela1[Adicional de férias])</f>
        <v>91.36377739584</v>
      </c>
      <c r="G8" s="349">
        <f>SUM(Tabela1[API])</f>
        <v>24.648501096</v>
      </c>
      <c r="H8" s="349">
        <f>SUM(Tabela1[FGTS sobre API])</f>
        <v>1.97188008768</v>
      </c>
      <c r="I8" s="349">
        <f>SUM(Tabela1[Multa FGTS e contribuições sociais sobre API])</f>
        <v>113.05445836032</v>
      </c>
      <c r="J8" s="349">
        <f>SUM(Tabela1[APT])</f>
        <v>127.84704272</v>
      </c>
      <c r="K8" s="349">
        <f>SUM(Tabela1[GPS, FGTS e contribuições sobre APT])</f>
        <v>45.68188869792</v>
      </c>
      <c r="L8" s="349">
        <f>SUM(Tabela1[Multa FGTS e contribuições sobre APT])</f>
        <v>1.31458672512</v>
      </c>
      <c r="M8" s="349">
        <f>SUM(Tabela1[Substituto Férias])</f>
        <v>273.757705</v>
      </c>
      <c r="N8" s="349">
        <f>SUM(Tabela1[Substituto Ausências legais])</f>
        <v>26.94902786496</v>
      </c>
      <c r="O8" s="349">
        <f>SUM(Tabela1[Substituto licença-paternidade])</f>
        <v>0.65729336256</v>
      </c>
      <c r="P8" s="349">
        <f>SUM(Tabela1[Substituto acidente de trabalho])</f>
        <v>4.27240685664</v>
      </c>
      <c r="Q8" s="349">
        <f>SUM(Tabela1[Substituto licença maternidade])</f>
        <v>0.98594004384</v>
      </c>
      <c r="R8" s="355">
        <f>SUM(D8:Q8)</f>
        <v>1260.02987922336</v>
      </c>
    </row>
  </sheetData>
  <mergeCells count="1">
    <mergeCell ref="B8:C8"/>
  </mergeCells>
  <pageMargins left="0.511811024" right="0.511811024" top="0.787401575" bottom="0.787401575" header="0.31496062" footer="0.31496062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"/>
  <sheetViews>
    <sheetView tabSelected="1" workbookViewId="0">
      <selection activeCell="H5" sqref="H5"/>
    </sheetView>
  </sheetViews>
  <sheetFormatPr defaultColWidth="9" defaultRowHeight="14.5" outlineLevelRow="2"/>
  <cols>
    <col min="1" max="1" width="14.4272727272727" customWidth="1"/>
    <col min="2" max="2" width="28.8545454545455" customWidth="1"/>
    <col min="3" max="4" width="10.5727272727273" style="334" customWidth="1"/>
    <col min="5" max="6" width="9.57272727272727" style="334" customWidth="1"/>
    <col min="7" max="7" width="8.85454545454546" style="334" customWidth="1"/>
    <col min="8" max="8" width="13.5727272727273" style="334" customWidth="1"/>
    <col min="9" max="9" width="12.2818181818182" style="334" customWidth="1"/>
    <col min="10" max="10" width="12.8545454545455" style="334" customWidth="1"/>
    <col min="11" max="11" width="9" style="334" customWidth="1"/>
    <col min="12" max="12" width="12.4272727272727" style="334" customWidth="1"/>
    <col min="13" max="13" width="10.8545454545455" style="334" customWidth="1"/>
    <col min="14" max="15" width="9" style="334" customWidth="1"/>
    <col min="16" max="16" width="12.1363636363636" style="334" customWidth="1"/>
  </cols>
  <sheetData>
    <row r="1" ht="73.25" spans="1:16">
      <c r="A1" s="335" t="s">
        <v>1</v>
      </c>
      <c r="B1" s="336" t="s">
        <v>2</v>
      </c>
      <c r="C1" s="337" t="s">
        <v>3</v>
      </c>
      <c r="D1" s="337" t="s">
        <v>4</v>
      </c>
      <c r="E1" s="337" t="s">
        <v>5</v>
      </c>
      <c r="F1" s="336" t="s">
        <v>6</v>
      </c>
      <c r="G1" s="336" t="s">
        <v>7</v>
      </c>
      <c r="H1" s="336" t="s">
        <v>8</v>
      </c>
      <c r="I1" s="336" t="s">
        <v>9</v>
      </c>
      <c r="J1" s="336" t="s">
        <v>10</v>
      </c>
      <c r="K1" s="336" t="s">
        <v>11</v>
      </c>
      <c r="L1" s="336" t="s">
        <v>12</v>
      </c>
      <c r="M1" s="336" t="s">
        <v>13</v>
      </c>
      <c r="N1" s="336" t="s">
        <v>14</v>
      </c>
      <c r="O1" s="336" t="s">
        <v>15</v>
      </c>
      <c r="P1" s="336" t="s">
        <v>16</v>
      </c>
    </row>
    <row r="2" ht="15.25" spans="1:16">
      <c r="A2" s="338" t="s">
        <v>19</v>
      </c>
      <c r="B2" s="339" t="s">
        <v>20</v>
      </c>
      <c r="C2" s="340">
        <f>SUMIF('Fato gerador'!$B:$B,A2,'Fato gerador'!D:D)-Pagamentos!C2</f>
        <v>298.64996101248</v>
      </c>
      <c r="D2" s="341">
        <f>SUMIF('Fato gerador'!$B:$B,A2,'Fato gerador'!E:E)-Pagamentos!D2</f>
        <v>298.64996101248</v>
      </c>
      <c r="E2" s="340">
        <f>SUMIF('Fato gerador'!$B:$B,A2,'Fato gerador'!F:F)-Pagamentos!E2</f>
        <v>99.66949479168</v>
      </c>
      <c r="F2" s="341">
        <f>SUMIF('Fato gerador'!$B:$B,A2,'Fato gerador'!G:G)-Pagamentos!F2</f>
        <v>-0.000747808000006955</v>
      </c>
      <c r="G2" s="340">
        <f>SUMIF('Fato gerador'!$B:$B,A2,'Fato gerador'!H:H)-Pagamentos!G2</f>
        <v>0.00114017535999933</v>
      </c>
      <c r="H2" s="341">
        <f>SUMIF('Fato gerador'!$B:$B,A2,'Fato gerador'!I:I)-Pagamentos!H2</f>
        <v>0.00203672063997828</v>
      </c>
      <c r="I2" s="340">
        <f>SUMIF('Fato gerador'!$B:$B,A2,'Fato gerador'!J:J)-Pagamentos!I2</f>
        <v>139.465752106667</v>
      </c>
      <c r="J2" s="341">
        <f>SUMIF('Fato gerador'!$B:$B,A2,'Fato gerador'!K:K)-Pagamentos!J2</f>
        <v>49.83474739584</v>
      </c>
      <c r="K2" s="340">
        <f>SUMIF('Fato gerador'!$B:$B,A2,'Fato gerador'!L:L)-Pagamentos!K2</f>
        <v>1.43409345024</v>
      </c>
      <c r="L2" s="341">
        <f>SUMIF('Fato gerador'!$B:$B,A2,'Fato gerador'!M:M)-Pagamentos!L2</f>
        <v>298.64</v>
      </c>
      <c r="M2" s="340">
        <f>SUMIF('Fato gerador'!$B:$B,A2,'Fato gerador'!N:N)-Pagamentos!M2</f>
        <v>29.39891572992</v>
      </c>
      <c r="N2" s="341">
        <f>SUMIF('Fato gerador'!$B:$B,A2,'Fato gerador'!O:O)-Pagamentos!N2</f>
        <v>0.71704672512</v>
      </c>
      <c r="O2" s="340">
        <f>SUMIF('Fato gerador'!$B:$B,A2,'Fato gerador'!P:P)-Pagamentos!O2</f>
        <v>4.66080371328</v>
      </c>
      <c r="P2" s="341">
        <f>SUMIF('Fato gerador'!$B:$B,A2,'Fato gerador'!Q:Q)-Pagamentos!P2</f>
        <v>1.07557008768</v>
      </c>
    </row>
    <row r="3" spans="1:16">
      <c r="A3" s="342" t="s">
        <v>21</v>
      </c>
      <c r="B3" s="343" t="s">
        <v>22</v>
      </c>
      <c r="C3" s="344">
        <f>SUMIF('Fato gerador'!$B:$B,A3,'Fato gerador'!D:D)-Pagamentos!C3</f>
        <v>248.87541</v>
      </c>
      <c r="D3" s="345">
        <f>SUMIF('Fato gerador'!$B:$B,A3,'Fato gerador'!E:E)-Pagamentos!D3</f>
        <v>248.87541</v>
      </c>
      <c r="E3" s="344">
        <f>SUMIF('Fato gerador'!$B:$B,A3,'Fato gerador'!F:F)-Pagamentos!E3</f>
        <v>83.05806</v>
      </c>
      <c r="F3" s="345">
        <f>SUMIF('Fato gerador'!$B:$B,A3,'Fato gerador'!G:G)-Pagamentos!F3</f>
        <v>22.40775</v>
      </c>
      <c r="G3" s="344">
        <f>SUMIF('Fato gerador'!$B:$B,A3,'Fato gerador'!H:H)-Pagamentos!G3</f>
        <v>1.79262</v>
      </c>
      <c r="H3" s="345">
        <f>SUMIF('Fato gerador'!$B:$B,A3,'Fato gerador'!I:I)-Pagamentos!H3</f>
        <v>102.77688</v>
      </c>
      <c r="I3" s="344">
        <f>SUMIF('Fato gerador'!$B:$B,A3,'Fato gerador'!J:J)-Pagamentos!I3</f>
        <v>116.228333333333</v>
      </c>
      <c r="J3" s="345">
        <f>SUMIF('Fato gerador'!$B:$B,A3,'Fato gerador'!K:K)-Pagamentos!J3</f>
        <v>41.52903</v>
      </c>
      <c r="K3" s="344">
        <f>SUMIF('Fato gerador'!$B:$B,A3,'Fato gerador'!L:L)-Pagamentos!K3</f>
        <v>1.19508</v>
      </c>
      <c r="L3" s="345">
        <f>SUMIF('Fato gerador'!$B:$B,A3,'Fato gerador'!M:M)-Pagamentos!L3</f>
        <v>248.87541</v>
      </c>
      <c r="M3" s="344">
        <f>SUMIF('Fato gerador'!$B:$B,A3,'Fato gerador'!N:N)-Pagamentos!M3</f>
        <v>24.49914</v>
      </c>
      <c r="N3" s="345">
        <f>SUMIF('Fato gerador'!$B:$B,A3,'Fato gerador'!O:O)-Pagamentos!N3</f>
        <v>0.59754</v>
      </c>
      <c r="O3" s="344">
        <f>SUMIF('Fato gerador'!$B:$B,A3,'Fato gerador'!P:P)-Pagamentos!O3</f>
        <v>3.88401</v>
      </c>
      <c r="P3" s="345">
        <f>SUMIF('Fato gerador'!$B:$B,A3,'Fato gerador'!Q:Q)-Pagamentos!P3</f>
        <v>0.89631</v>
      </c>
    </row>
  </sheetData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"/>
  <sheetViews>
    <sheetView workbookViewId="0">
      <selection activeCell="H3" sqref="H3"/>
    </sheetView>
  </sheetViews>
  <sheetFormatPr defaultColWidth="9" defaultRowHeight="14.5" outlineLevelRow="2"/>
  <cols>
    <col min="1" max="1" width="14.4272727272727" customWidth="1"/>
    <col min="2" max="2" width="28.8545454545455" customWidth="1"/>
    <col min="3" max="5" width="9.13636363636364" style="334"/>
    <col min="6" max="6" width="9.57272727272727" style="334" customWidth="1"/>
    <col min="7" max="7" width="9.13636363636364" style="334"/>
    <col min="8" max="8" width="10.5727272727273" style="334" customWidth="1"/>
    <col min="9" max="9" width="10.2818181818182" style="334" customWidth="1"/>
    <col min="10" max="11" width="9.13636363636364" style="334"/>
    <col min="12" max="12" width="10.8545454545455" style="334" customWidth="1"/>
    <col min="13" max="13" width="11.2818181818182" style="334" customWidth="1"/>
    <col min="14" max="14" width="11.5727272727273" style="334" customWidth="1"/>
    <col min="15" max="15" width="11.8545454545455" style="334" customWidth="1"/>
    <col min="16" max="16" width="13.4272727272727" style="334" customWidth="1"/>
    <col min="17" max="17" width="9.13636363636364" style="334"/>
  </cols>
  <sheetData>
    <row r="1" ht="73.25" spans="1:17">
      <c r="A1" s="335" t="s">
        <v>1</v>
      </c>
      <c r="B1" s="336" t="s">
        <v>2</v>
      </c>
      <c r="C1" s="337" t="s">
        <v>3</v>
      </c>
      <c r="D1" s="337" t="s">
        <v>4</v>
      </c>
      <c r="E1" s="337" t="s">
        <v>5</v>
      </c>
      <c r="F1" s="336" t="s">
        <v>6</v>
      </c>
      <c r="G1" s="336" t="s">
        <v>7</v>
      </c>
      <c r="H1" s="336" t="s">
        <v>8</v>
      </c>
      <c r="I1" s="336" t="s">
        <v>9</v>
      </c>
      <c r="J1" s="336" t="s">
        <v>10</v>
      </c>
      <c r="K1" s="336" t="s">
        <v>11</v>
      </c>
      <c r="L1" s="336" t="s">
        <v>12</v>
      </c>
      <c r="M1" s="336" t="s">
        <v>13</v>
      </c>
      <c r="N1" s="336" t="s">
        <v>14</v>
      </c>
      <c r="O1" s="336" t="s">
        <v>15</v>
      </c>
      <c r="P1" s="336" t="s">
        <v>16</v>
      </c>
      <c r="Q1" s="346" t="s">
        <v>17</v>
      </c>
    </row>
    <row r="2" ht="15.25" spans="1:17">
      <c r="A2" s="338" t="s">
        <v>19</v>
      </c>
      <c r="B2" s="339" t="s">
        <v>20</v>
      </c>
      <c r="C2" s="340"/>
      <c r="D2" s="341"/>
      <c r="E2" s="340"/>
      <c r="F2" s="341">
        <v>26.89</v>
      </c>
      <c r="G2" s="340">
        <v>2.15</v>
      </c>
      <c r="H2" s="341">
        <v>123.33</v>
      </c>
      <c r="I2" s="340"/>
      <c r="J2" s="341"/>
      <c r="K2" s="340"/>
      <c r="L2" s="341"/>
      <c r="M2" s="340"/>
      <c r="N2" s="341"/>
      <c r="O2" s="340"/>
      <c r="P2" s="341"/>
      <c r="Q2" s="340"/>
    </row>
    <row r="3" spans="1:17">
      <c r="A3" s="342" t="s">
        <v>21</v>
      </c>
      <c r="B3" s="343" t="s">
        <v>22</v>
      </c>
      <c r="C3" s="344"/>
      <c r="D3" s="345"/>
      <c r="E3" s="344"/>
      <c r="F3" s="345"/>
      <c r="G3" s="344"/>
      <c r="H3" s="345"/>
      <c r="I3" s="344"/>
      <c r="J3" s="345"/>
      <c r="K3" s="344"/>
      <c r="L3" s="345"/>
      <c r="M3" s="344"/>
      <c r="N3" s="345"/>
      <c r="O3" s="344"/>
      <c r="P3" s="345"/>
      <c r="Q3" s="344"/>
    </row>
  </sheetData>
  <pageMargins left="0.511811024" right="0.511811024" top="0.787401575" bottom="0.787401575" header="0.31496062" footer="0.31496062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view="pageBreakPreview" zoomScale="130" zoomScaleNormal="90" workbookViewId="0">
      <selection activeCell="E13" sqref="E13"/>
    </sheetView>
  </sheetViews>
  <sheetFormatPr defaultColWidth="9.13636363636364" defaultRowHeight="12"/>
  <cols>
    <col min="1" max="1" width="20.8545454545455" style="257" customWidth="1"/>
    <col min="2" max="2" width="35.2818181818182" style="257" customWidth="1"/>
    <col min="3" max="3" width="11.5727272727273" style="257" customWidth="1"/>
    <col min="4" max="4" width="14.5727272727273" style="257" customWidth="1"/>
    <col min="5" max="6" width="16" style="257" customWidth="1"/>
    <col min="7" max="7" width="14.8545454545455" style="257" customWidth="1"/>
    <col min="8" max="8" width="9.57272727272727" style="257" customWidth="1"/>
    <col min="9" max="16384" width="9.13636363636364" style="257"/>
  </cols>
  <sheetData>
    <row r="1" spans="1:6">
      <c r="A1" s="258" t="s">
        <v>24</v>
      </c>
      <c r="B1" s="258"/>
      <c r="C1" s="258"/>
      <c r="D1" s="258"/>
      <c r="E1" s="258"/>
      <c r="F1" s="258"/>
    </row>
    <row r="2" spans="1:6">
      <c r="A2" s="258" t="s">
        <v>25</v>
      </c>
      <c r="B2" s="258"/>
      <c r="C2" s="258"/>
      <c r="D2" s="258"/>
      <c r="E2" s="258"/>
      <c r="F2" s="258"/>
    </row>
    <row r="3" spans="1:6">
      <c r="A3" s="259"/>
      <c r="B3" s="259"/>
      <c r="C3" s="259"/>
      <c r="D3" s="259"/>
      <c r="E3" s="259"/>
      <c r="F3" s="259"/>
    </row>
    <row r="4" spans="1:6">
      <c r="A4" s="260" t="s">
        <v>26</v>
      </c>
      <c r="B4" s="261"/>
      <c r="C4" s="261"/>
      <c r="D4" s="261"/>
      <c r="E4" s="261"/>
      <c r="F4" s="262"/>
    </row>
    <row r="5" spans="1:6">
      <c r="A5" s="263" t="s">
        <v>27</v>
      </c>
      <c r="B5" s="263"/>
      <c r="C5" s="264" t="s">
        <v>28</v>
      </c>
      <c r="D5" s="265"/>
      <c r="E5" s="265"/>
      <c r="F5" s="266"/>
    </row>
    <row r="6" spans="1:6">
      <c r="A6" s="263" t="s">
        <v>29</v>
      </c>
      <c r="B6" s="263"/>
      <c r="C6" s="267"/>
      <c r="D6" s="268"/>
      <c r="E6" s="269"/>
      <c r="F6" s="270"/>
    </row>
    <row r="7" spans="1:6">
      <c r="A7" s="263" t="s">
        <v>30</v>
      </c>
      <c r="B7" s="263"/>
      <c r="C7" s="269"/>
      <c r="D7" s="271"/>
      <c r="E7" s="272"/>
      <c r="F7" s="273"/>
    </row>
    <row r="8" ht="14.5" spans="1:6">
      <c r="A8" s="263" t="s">
        <v>31</v>
      </c>
      <c r="B8" s="263"/>
      <c r="C8" s="274"/>
      <c r="D8" s="275"/>
      <c r="E8" s="275"/>
      <c r="F8" s="276"/>
    </row>
    <row r="9" spans="1:6">
      <c r="A9" s="277"/>
      <c r="B9" s="277"/>
      <c r="C9" s="278"/>
      <c r="D9" s="278"/>
      <c r="E9" s="278"/>
      <c r="F9" s="278"/>
    </row>
    <row r="10" ht="33" customHeight="1" spans="1:6">
      <c r="A10" s="279" t="s">
        <v>32</v>
      </c>
      <c r="B10" s="280" t="s">
        <v>33</v>
      </c>
      <c r="C10" s="280" t="s">
        <v>34</v>
      </c>
      <c r="D10" s="281" t="s">
        <v>35</v>
      </c>
      <c r="E10" s="281" t="s">
        <v>36</v>
      </c>
      <c r="F10" s="282" t="s">
        <v>37</v>
      </c>
    </row>
    <row r="11" ht="82.5" customHeight="1" spans="1:6">
      <c r="A11" s="283" t="s">
        <v>20</v>
      </c>
      <c r="B11" s="284"/>
      <c r="C11" s="285">
        <v>12</v>
      </c>
      <c r="D11" s="286">
        <f>ENCARREGADO!D161</f>
        <v>4166.11090435117</v>
      </c>
      <c r="E11" s="287">
        <f>D11</f>
        <v>4166.11090435117</v>
      </c>
      <c r="F11" s="288">
        <f>E11*12</f>
        <v>49993.330852214</v>
      </c>
    </row>
    <row r="12" ht="96" customHeight="1" spans="1:13">
      <c r="A12" s="289" t="s">
        <v>22</v>
      </c>
      <c r="B12" s="290"/>
      <c r="C12" s="285">
        <v>12</v>
      </c>
      <c r="D12" s="286">
        <f>SERVENTE!D163</f>
        <v>3993.83976688583</v>
      </c>
      <c r="E12" s="287">
        <f>D12</f>
        <v>3993.83976688583</v>
      </c>
      <c r="F12" s="288">
        <f>E12*12</f>
        <v>47926.07720263</v>
      </c>
      <c r="J12" s="333"/>
      <c r="K12" s="333"/>
      <c r="L12" s="333"/>
      <c r="M12" s="333"/>
    </row>
    <row r="13" spans="1:8">
      <c r="A13" s="291" t="s">
        <v>38</v>
      </c>
      <c r="B13" s="292"/>
      <c r="C13" s="293"/>
      <c r="D13" s="294"/>
      <c r="E13" s="294">
        <f>SUM(E11:E12)</f>
        <v>8159.950671237</v>
      </c>
      <c r="F13" s="294">
        <f>SUM(F11:F12)</f>
        <v>97919.408054844</v>
      </c>
      <c r="G13" s="295" t="s">
        <v>39</v>
      </c>
      <c r="H13" s="296"/>
    </row>
    <row r="14" spans="5:7">
      <c r="E14" s="295" t="s">
        <v>39</v>
      </c>
      <c r="F14" s="295" t="s">
        <v>39</v>
      </c>
      <c r="G14" s="295" t="s">
        <v>39</v>
      </c>
    </row>
    <row r="15" spans="1:6">
      <c r="A15" s="260" t="s">
        <v>40</v>
      </c>
      <c r="B15" s="261"/>
      <c r="C15" s="261"/>
      <c r="D15" s="261"/>
      <c r="E15" s="261"/>
      <c r="F15" s="262"/>
    </row>
    <row r="16" spans="1:6">
      <c r="A16" s="297"/>
      <c r="B16" s="298"/>
      <c r="C16" s="298"/>
      <c r="D16" s="298"/>
      <c r="E16" s="298"/>
      <c r="F16" s="299"/>
    </row>
    <row r="18" spans="1:8">
      <c r="A18" s="260" t="s">
        <v>41</v>
      </c>
      <c r="B18" s="261"/>
      <c r="C18" s="261"/>
      <c r="D18" s="261"/>
      <c r="E18" s="261"/>
      <c r="F18" s="262"/>
      <c r="H18" s="257" t="s">
        <v>39</v>
      </c>
    </row>
    <row r="19" hidden="1" spans="1:6">
      <c r="A19" s="297"/>
      <c r="B19" s="298"/>
      <c r="C19" s="298"/>
      <c r="D19" s="298"/>
      <c r="E19" s="298"/>
      <c r="F19" s="299"/>
    </row>
    <row r="20" hidden="1"/>
    <row r="21" hidden="1" spans="1:6">
      <c r="A21" s="260" t="s">
        <v>42</v>
      </c>
      <c r="B21" s="261"/>
      <c r="C21" s="261"/>
      <c r="D21" s="261"/>
      <c r="E21" s="261"/>
      <c r="F21" s="262"/>
    </row>
    <row r="22" ht="61.5" customHeight="1" spans="1:6">
      <c r="A22" s="300"/>
      <c r="B22" s="301"/>
      <c r="C22" s="301"/>
      <c r="D22" s="301"/>
      <c r="E22" s="301"/>
      <c r="F22" s="302"/>
    </row>
    <row r="23" s="256" customFormat="1" ht="28.5" customHeight="1" spans="1:6">
      <c r="A23" s="303"/>
      <c r="B23" s="303"/>
      <c r="C23" s="303"/>
      <c r="D23" s="303"/>
      <c r="E23" s="303"/>
      <c r="F23" s="303"/>
    </row>
    <row r="24" s="256" customFormat="1" spans="1:6">
      <c r="A24" s="304"/>
      <c r="B24" s="305"/>
      <c r="C24" s="305"/>
      <c r="D24" s="305"/>
      <c r="E24" s="305"/>
      <c r="F24" s="306"/>
    </row>
    <row r="25" spans="1:6">
      <c r="A25" s="307" t="s">
        <v>43</v>
      </c>
      <c r="B25" s="308"/>
      <c r="C25" s="308"/>
      <c r="D25" s="308"/>
      <c r="E25" s="308"/>
      <c r="F25" s="309"/>
    </row>
    <row r="26" spans="1:6">
      <c r="A26" s="310" t="s">
        <v>44</v>
      </c>
      <c r="B26" s="310"/>
      <c r="C26" s="311" t="s">
        <v>45</v>
      </c>
      <c r="D26" s="312"/>
      <c r="E26" s="312"/>
      <c r="F26" s="313"/>
    </row>
    <row r="27" ht="13" spans="1:6">
      <c r="A27" s="314"/>
      <c r="B27" s="315"/>
      <c r="C27" s="316"/>
      <c r="D27" s="317"/>
      <c r="E27" s="317"/>
      <c r="F27" s="318"/>
    </row>
    <row r="28" spans="1:6">
      <c r="A28" s="319"/>
      <c r="B28" s="319"/>
      <c r="C28" s="320"/>
      <c r="D28" s="321"/>
      <c r="E28" s="321"/>
      <c r="F28" s="322"/>
    </row>
    <row r="29" customHeight="1" spans="1:6">
      <c r="A29" s="323"/>
      <c r="B29" s="324"/>
      <c r="C29" s="325"/>
      <c r="D29" s="321"/>
      <c r="E29" s="321"/>
      <c r="F29" s="322"/>
    </row>
    <row r="31" spans="1:6">
      <c r="A31" s="260" t="s">
        <v>46</v>
      </c>
      <c r="B31" s="261"/>
      <c r="C31" s="261"/>
      <c r="D31" s="261"/>
      <c r="E31" s="261"/>
      <c r="F31" s="262"/>
    </row>
    <row r="32" spans="1:6">
      <c r="A32" s="326" t="s">
        <v>47</v>
      </c>
      <c r="B32" s="326" t="s">
        <v>45</v>
      </c>
      <c r="C32" s="327" t="s">
        <v>48</v>
      </c>
      <c r="D32" s="328"/>
      <c r="E32" s="328"/>
      <c r="F32" s="329"/>
    </row>
    <row r="33" ht="15.75" customHeight="1" spans="1:6">
      <c r="A33" s="330" t="s">
        <v>49</v>
      </c>
      <c r="B33" s="331"/>
      <c r="C33" s="331"/>
      <c r="D33" s="331"/>
      <c r="E33" s="331"/>
      <c r="F33" s="332"/>
    </row>
    <row r="35" spans="1:6">
      <c r="A35" s="260" t="s">
        <v>50</v>
      </c>
      <c r="B35" s="261"/>
      <c r="C35" s="261"/>
      <c r="D35" s="261"/>
      <c r="E35" s="261"/>
      <c r="F35" s="262"/>
    </row>
    <row r="36" ht="99.75" customHeight="1" spans="1:6">
      <c r="A36" s="297"/>
      <c r="B36" s="298"/>
      <c r="C36" s="298"/>
      <c r="D36" s="298"/>
      <c r="E36" s="298"/>
      <c r="F36" s="299"/>
    </row>
  </sheetData>
  <mergeCells count="35">
    <mergeCell ref="A1:F1"/>
    <mergeCell ref="A2:F2"/>
    <mergeCell ref="A3:F3"/>
    <mergeCell ref="A4:F4"/>
    <mergeCell ref="A5:B5"/>
    <mergeCell ref="C5:F5"/>
    <mergeCell ref="A6:B6"/>
    <mergeCell ref="C6:D6"/>
    <mergeCell ref="A7:B7"/>
    <mergeCell ref="C7:E7"/>
    <mergeCell ref="A8:B8"/>
    <mergeCell ref="C8:F8"/>
    <mergeCell ref="J12:M12"/>
    <mergeCell ref="A13:C13"/>
    <mergeCell ref="A15:F15"/>
    <mergeCell ref="A16:F16"/>
    <mergeCell ref="A18:F18"/>
    <mergeCell ref="A19:F19"/>
    <mergeCell ref="A21:F21"/>
    <mergeCell ref="A22:F22"/>
    <mergeCell ref="A23:F23"/>
    <mergeCell ref="A25:F25"/>
    <mergeCell ref="A26:B26"/>
    <mergeCell ref="C26:F26"/>
    <mergeCell ref="A27:B27"/>
    <mergeCell ref="C27:F27"/>
    <mergeCell ref="A28:B28"/>
    <mergeCell ref="C28:F28"/>
    <mergeCell ref="A29:B29"/>
    <mergeCell ref="C29:F29"/>
    <mergeCell ref="A31:F31"/>
    <mergeCell ref="C32:F32"/>
    <mergeCell ref="A33:F33"/>
    <mergeCell ref="A35:F35"/>
    <mergeCell ref="A36:F36"/>
  </mergeCells>
  <pageMargins left="0.511811023622047" right="0.511811023622047" top="1.42666666666667" bottom="0.78740157480315" header="0.31496062992126" footer="0.31496062992126"/>
  <pageSetup paperSize="9" scale="80" orientation="portrait"/>
  <headerFooter>
    <oddHeader>&amp;C&amp;G</oddHeader>
    <oddFooter>&amp;C&amp;G</oddFoot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2"/>
  <sheetViews>
    <sheetView view="pageBreakPreview" zoomScale="140" zoomScaleNormal="100" topLeftCell="A115" workbookViewId="0">
      <selection activeCell="B122" sqref="B122:C126"/>
    </sheetView>
  </sheetViews>
  <sheetFormatPr defaultColWidth="9.13636363636364" defaultRowHeight="13" outlineLevelCol="5"/>
  <cols>
    <col min="1" max="1" width="8.70909090909091" style="2" customWidth="1"/>
    <col min="2" max="2" width="48.2818181818182" style="2" customWidth="1"/>
    <col min="3" max="3" width="14.1363636363636" style="2" customWidth="1"/>
    <col min="4" max="4" width="23.8545454545455" style="2" customWidth="1"/>
    <col min="5" max="5" width="10.5727272727273" style="2" customWidth="1"/>
    <col min="6" max="6" width="11.4272727272727" style="2" customWidth="1"/>
    <col min="7" max="16384" width="9.13636363636364" style="2"/>
  </cols>
  <sheetData>
    <row r="1" spans="1:4">
      <c r="A1" s="202" t="s">
        <v>51</v>
      </c>
      <c r="B1" s="202"/>
      <c r="C1" s="202"/>
      <c r="D1" s="202"/>
    </row>
    <row r="2" spans="1:3">
      <c r="A2" s="1"/>
      <c r="B2" s="1"/>
      <c r="C2" s="1"/>
    </row>
    <row r="3" spans="1:4">
      <c r="A3" s="3" t="s">
        <v>52</v>
      </c>
      <c r="B3" s="3"/>
      <c r="C3" s="3"/>
      <c r="D3" s="3"/>
    </row>
    <row r="5" spans="1:4">
      <c r="A5" s="3" t="s">
        <v>53</v>
      </c>
      <c r="B5" s="3"/>
      <c r="C5" s="3"/>
      <c r="D5" s="3"/>
    </row>
    <row r="6" ht="22.5" customHeight="1" spans="1:4">
      <c r="A6" s="4"/>
      <c r="B6" s="4"/>
      <c r="C6" s="4"/>
      <c r="D6" s="4"/>
    </row>
    <row r="7" ht="18.75" customHeight="1" spans="1:4">
      <c r="A7" s="4" t="s">
        <v>54</v>
      </c>
      <c r="B7" s="4"/>
      <c r="C7" s="4"/>
      <c r="D7" s="4"/>
    </row>
    <row r="8" ht="18.75" customHeight="1" spans="1:4">
      <c r="A8" s="5" t="s">
        <v>55</v>
      </c>
      <c r="B8" s="5"/>
      <c r="C8" s="5"/>
      <c r="D8" s="5"/>
    </row>
    <row r="9" spans="1:2">
      <c r="A9" s="3"/>
      <c r="B9" s="3"/>
    </row>
    <row r="10" spans="1:4">
      <c r="A10" s="3" t="s">
        <v>56</v>
      </c>
      <c r="B10" s="3"/>
      <c r="C10" s="3"/>
      <c r="D10" s="3"/>
    </row>
    <row r="11" ht="15.75" customHeight="1" spans="1:2">
      <c r="A11" s="3"/>
      <c r="B11" s="3"/>
    </row>
    <row r="12" spans="1:4">
      <c r="A12" s="6" t="s">
        <v>57</v>
      </c>
      <c r="B12" s="7" t="s">
        <v>58</v>
      </c>
      <c r="C12" s="8"/>
      <c r="D12" s="9">
        <v>44203</v>
      </c>
    </row>
    <row r="13" spans="1:4">
      <c r="A13" s="6" t="s">
        <v>59</v>
      </c>
      <c r="B13" s="7" t="s">
        <v>60</v>
      </c>
      <c r="C13" s="8"/>
      <c r="D13" s="10" t="s">
        <v>61</v>
      </c>
    </row>
    <row r="14" spans="1:4">
      <c r="A14" s="6" t="s">
        <v>62</v>
      </c>
      <c r="B14" s="11" t="s">
        <v>63</v>
      </c>
      <c r="C14" s="12"/>
      <c r="D14" s="10">
        <v>2020</v>
      </c>
    </row>
    <row r="15" spans="1:4">
      <c r="A15" s="6" t="s">
        <v>64</v>
      </c>
      <c r="B15" s="13" t="s">
        <v>65</v>
      </c>
      <c r="C15" s="14"/>
      <c r="D15" s="6">
        <v>180</v>
      </c>
    </row>
    <row r="16" spans="1:4">
      <c r="A16" s="3"/>
      <c r="B16" s="15"/>
      <c r="C16" s="15"/>
      <c r="D16" s="15"/>
    </row>
    <row r="17" spans="1:4">
      <c r="A17" s="3"/>
      <c r="B17" s="15"/>
      <c r="C17" s="15"/>
      <c r="D17" s="15"/>
    </row>
    <row r="18" spans="1:4">
      <c r="A18" s="16" t="s">
        <v>66</v>
      </c>
      <c r="B18" s="16"/>
      <c r="C18" s="16"/>
      <c r="D18" s="16"/>
    </row>
    <row r="20" ht="57" customHeight="1" spans="1:4">
      <c r="A20" s="17" t="s">
        <v>67</v>
      </c>
      <c r="B20" s="17"/>
      <c r="C20" s="17" t="s">
        <v>68</v>
      </c>
      <c r="D20" s="18" t="s">
        <v>69</v>
      </c>
    </row>
    <row r="21" ht="76.5" customHeight="1" spans="1:4">
      <c r="A21" s="203" t="s">
        <v>20</v>
      </c>
      <c r="B21" s="203"/>
      <c r="C21" s="204" t="s">
        <v>70</v>
      </c>
      <c r="D21" s="21">
        <v>1</v>
      </c>
    </row>
    <row r="22" ht="14.5" spans="1:4">
      <c r="A22" s="22"/>
      <c r="B22" s="22"/>
      <c r="C22" s="23"/>
      <c r="D22" s="24"/>
    </row>
    <row r="23" ht="29.25" customHeight="1" spans="1:4">
      <c r="A23" s="66" t="s">
        <v>71</v>
      </c>
      <c r="B23" s="66"/>
      <c r="C23" s="66"/>
      <c r="D23" s="66"/>
    </row>
    <row r="24" ht="8.25" customHeight="1"/>
    <row r="25" ht="27" customHeight="1" spans="1:4">
      <c r="A25" s="205" t="s">
        <v>72</v>
      </c>
      <c r="B25" s="205"/>
      <c r="C25" s="205"/>
      <c r="D25" s="205"/>
    </row>
    <row r="27" spans="1:4">
      <c r="A27" s="1"/>
      <c r="B27" s="1"/>
      <c r="C27" s="1"/>
      <c r="D27" s="1"/>
    </row>
    <row r="29" spans="1:1">
      <c r="A29" s="27" t="s">
        <v>73</v>
      </c>
    </row>
    <row r="31" spans="1:1">
      <c r="A31" s="27" t="s">
        <v>74</v>
      </c>
    </row>
    <row r="33" ht="18.75" customHeight="1" spans="1:4">
      <c r="A33" s="28" t="s">
        <v>75</v>
      </c>
      <c r="B33" s="28"/>
      <c r="C33" s="28"/>
      <c r="D33" s="29"/>
    </row>
    <row r="34" ht="13.75" spans="1:4">
      <c r="A34" s="49" t="s">
        <v>76</v>
      </c>
      <c r="B34" s="116"/>
      <c r="C34" s="116"/>
      <c r="D34" s="50"/>
    </row>
    <row r="35" spans="1:4">
      <c r="A35" s="36">
        <v>1</v>
      </c>
      <c r="B35" s="92" t="s">
        <v>77</v>
      </c>
      <c r="C35" s="92"/>
      <c r="D35" s="206" t="s">
        <v>78</v>
      </c>
    </row>
    <row r="36" spans="1:4">
      <c r="A36" s="36">
        <v>2</v>
      </c>
      <c r="B36" s="37" t="s">
        <v>79</v>
      </c>
      <c r="C36" s="38"/>
      <c r="D36" s="207" t="s">
        <v>80</v>
      </c>
    </row>
    <row r="37" spans="1:4">
      <c r="A37" s="39">
        <v>3</v>
      </c>
      <c r="B37" s="40" t="s">
        <v>81</v>
      </c>
      <c r="C37" s="40"/>
      <c r="D37" s="208">
        <f>1066.12*1.4012</f>
        <v>1493.847344</v>
      </c>
    </row>
    <row r="38" spans="1:4">
      <c r="A38" s="39">
        <v>4</v>
      </c>
      <c r="B38" s="40" t="s">
        <v>82</v>
      </c>
      <c r="C38" s="40"/>
      <c r="D38" s="207" t="s">
        <v>83</v>
      </c>
    </row>
    <row r="39" ht="13.75" spans="1:4">
      <c r="A39" s="42">
        <v>5</v>
      </c>
      <c r="B39" s="43" t="s">
        <v>84</v>
      </c>
      <c r="C39" s="43"/>
      <c r="D39" s="44">
        <v>43831</v>
      </c>
    </row>
    <row r="40" ht="14.5" spans="1:4">
      <c r="A40" s="24"/>
      <c r="B40" s="24"/>
      <c r="C40" s="24"/>
      <c r="D40" s="24"/>
    </row>
    <row r="41" spans="1:4">
      <c r="A41" s="45" t="s">
        <v>85</v>
      </c>
      <c r="B41" s="45"/>
      <c r="C41" s="45"/>
      <c r="D41" s="46"/>
    </row>
    <row r="42" spans="1:4">
      <c r="A42" s="45"/>
      <c r="B42" s="45"/>
      <c r="C42" s="45"/>
      <c r="D42" s="46"/>
    </row>
    <row r="43" spans="1:4">
      <c r="A43" s="2" t="s">
        <v>86</v>
      </c>
      <c r="B43" s="46"/>
      <c r="C43" s="46"/>
      <c r="D43" s="46"/>
    </row>
    <row r="44" spans="2:4">
      <c r="B44" s="46"/>
      <c r="C44" s="46"/>
      <c r="D44" s="46"/>
    </row>
    <row r="45" spans="1:4">
      <c r="A45" s="47" t="s">
        <v>87</v>
      </c>
      <c r="B45" s="47"/>
      <c r="C45" s="47"/>
      <c r="D45" s="47"/>
    </row>
    <row r="46" ht="13.75" spans="1:4">
      <c r="A46" s="47"/>
      <c r="B46" s="47"/>
      <c r="C46" s="47"/>
      <c r="D46" s="47"/>
    </row>
    <row r="47" ht="13.75" spans="1:4">
      <c r="A47" s="48">
        <v>1</v>
      </c>
      <c r="B47" s="116" t="s">
        <v>88</v>
      </c>
      <c r="C47" s="50"/>
      <c r="D47" s="50" t="s">
        <v>89</v>
      </c>
    </row>
    <row r="48" spans="1:4">
      <c r="A48" s="51" t="s">
        <v>57</v>
      </c>
      <c r="B48" s="52" t="s">
        <v>90</v>
      </c>
      <c r="C48" s="52"/>
      <c r="D48" s="53">
        <f>D37</f>
        <v>1493.847344</v>
      </c>
    </row>
    <row r="49" ht="13.75" spans="1:4">
      <c r="A49" s="54" t="s">
        <v>59</v>
      </c>
      <c r="B49" s="209" t="s">
        <v>91</v>
      </c>
      <c r="C49" s="209"/>
      <c r="D49" s="210">
        <f>D48*20%</f>
        <v>298.7694688</v>
      </c>
    </row>
    <row r="50" ht="14.25" customHeight="1" spans="1:4">
      <c r="A50" s="59" t="s">
        <v>92</v>
      </c>
      <c r="B50" s="60"/>
      <c r="C50" s="61"/>
      <c r="D50" s="211">
        <f>SUM(D48:D49)</f>
        <v>1792.6168128</v>
      </c>
    </row>
    <row r="51" spans="1:4">
      <c r="A51" s="63"/>
      <c r="B51" s="64"/>
      <c r="C51" s="64"/>
      <c r="D51" s="65"/>
    </row>
    <row r="52" ht="33.75" customHeight="1" spans="1:4">
      <c r="A52" s="66" t="s">
        <v>93</v>
      </c>
      <c r="B52" s="66"/>
      <c r="C52" s="66"/>
      <c r="D52" s="66"/>
    </row>
    <row r="53" spans="1:4">
      <c r="A53" s="67"/>
      <c r="B53" s="68"/>
      <c r="C53" s="69"/>
      <c r="D53" s="70"/>
    </row>
    <row r="54" spans="1:4">
      <c r="A54" s="47" t="s">
        <v>94</v>
      </c>
      <c r="B54" s="47"/>
      <c r="C54" s="47"/>
      <c r="D54" s="47"/>
    </row>
    <row r="55" spans="1:4">
      <c r="A55" s="47"/>
      <c r="B55" s="47"/>
      <c r="C55" s="47"/>
      <c r="D55" s="47"/>
    </row>
    <row r="56" ht="13.75" spans="1:4">
      <c r="A56" s="47" t="s">
        <v>95</v>
      </c>
      <c r="B56" s="47"/>
      <c r="C56" s="47"/>
      <c r="D56" s="47"/>
    </row>
    <row r="57" ht="15.75" customHeight="1" spans="1:4">
      <c r="A57" s="212" t="s">
        <v>96</v>
      </c>
      <c r="B57" s="213" t="s">
        <v>97</v>
      </c>
      <c r="C57" s="214"/>
      <c r="D57" s="212" t="s">
        <v>89</v>
      </c>
    </row>
    <row r="58" spans="1:4">
      <c r="A58" s="75" t="s">
        <v>57</v>
      </c>
      <c r="B58" s="76" t="s">
        <v>98</v>
      </c>
      <c r="C58" s="76"/>
      <c r="D58" s="215">
        <f>D50*8.33%</f>
        <v>149.32498050624</v>
      </c>
    </row>
    <row r="59" spans="1:4">
      <c r="A59" s="78" t="s">
        <v>59</v>
      </c>
      <c r="B59" s="80" t="s">
        <v>4</v>
      </c>
      <c r="C59" s="80"/>
      <c r="D59" s="215">
        <f>D50*8.33%</f>
        <v>149.32498050624</v>
      </c>
    </row>
    <row r="60" ht="13.75" spans="1:4">
      <c r="A60" s="78" t="s">
        <v>62</v>
      </c>
      <c r="B60" s="80" t="s">
        <v>99</v>
      </c>
      <c r="C60" s="80"/>
      <c r="D60" s="216">
        <f>D50*2.78%</f>
        <v>49.83474739584</v>
      </c>
    </row>
    <row r="61" ht="15.75" customHeight="1" spans="1:4">
      <c r="A61" s="217" t="s">
        <v>100</v>
      </c>
      <c r="B61" s="218"/>
      <c r="C61" s="219"/>
      <c r="D61" s="220">
        <f>SUM(D58:D60)</f>
        <v>348.48470840832</v>
      </c>
    </row>
    <row r="62" spans="1:4">
      <c r="A62" s="63"/>
      <c r="B62" s="85"/>
      <c r="C62" s="85"/>
      <c r="D62" s="86"/>
    </row>
    <row r="63" ht="49.5" customHeight="1" spans="1:4">
      <c r="A63" s="66" t="s">
        <v>101</v>
      </c>
      <c r="B63" s="66"/>
      <c r="C63" s="66"/>
      <c r="D63" s="66"/>
    </row>
    <row r="64" ht="34.5" customHeight="1" spans="1:4">
      <c r="A64" s="87" t="s">
        <v>102</v>
      </c>
      <c r="B64" s="87"/>
      <c r="C64" s="87"/>
      <c r="D64" s="87"/>
    </row>
    <row r="65" ht="63" customHeight="1" spans="1:5">
      <c r="A65" s="88" t="s">
        <v>103</v>
      </c>
      <c r="B65" s="88"/>
      <c r="C65" s="88"/>
      <c r="D65" s="88"/>
      <c r="E65" s="221"/>
    </row>
    <row r="66" spans="1:4">
      <c r="A66" s="45"/>
      <c r="B66" s="45"/>
      <c r="C66" s="45"/>
      <c r="D66" s="45"/>
    </row>
    <row r="67" ht="30" customHeight="1" spans="1:4">
      <c r="A67" s="28" t="s">
        <v>104</v>
      </c>
      <c r="B67" s="89"/>
      <c r="C67" s="89"/>
      <c r="D67" s="89"/>
    </row>
    <row r="68" ht="13.75" spans="1:4">
      <c r="A68" s="48" t="s">
        <v>105</v>
      </c>
      <c r="B68" s="48" t="s">
        <v>106</v>
      </c>
      <c r="C68" s="222" t="s">
        <v>107</v>
      </c>
      <c r="D68" s="48" t="s">
        <v>89</v>
      </c>
    </row>
    <row r="69" ht="13.75" spans="1:4">
      <c r="A69" s="159" t="s">
        <v>57</v>
      </c>
      <c r="B69" s="92" t="s">
        <v>108</v>
      </c>
      <c r="C69" s="93">
        <v>0.2</v>
      </c>
      <c r="D69" s="94">
        <f>C69*($D$50+$D$61)</f>
        <v>428.220304241664</v>
      </c>
    </row>
    <row r="70" ht="13.75" spans="1:4">
      <c r="A70" s="163" t="s">
        <v>59</v>
      </c>
      <c r="B70" s="40" t="s">
        <v>109</v>
      </c>
      <c r="C70" s="96">
        <v>0.025</v>
      </c>
      <c r="D70" s="94">
        <f t="shared" ref="D70:D76" si="0">C70*($D$50+$D$61)</f>
        <v>53.527538030208</v>
      </c>
    </row>
    <row r="71" ht="13.75" spans="1:4">
      <c r="A71" s="163" t="s">
        <v>62</v>
      </c>
      <c r="B71" s="97" t="s">
        <v>110</v>
      </c>
      <c r="C71" s="98">
        <v>0.02</v>
      </c>
      <c r="D71" s="94">
        <f t="shared" si="0"/>
        <v>42.8220304241664</v>
      </c>
    </row>
    <row r="72" ht="13.75" spans="1:4">
      <c r="A72" s="163" t="s">
        <v>64</v>
      </c>
      <c r="B72" s="40" t="s">
        <v>111</v>
      </c>
      <c r="C72" s="96">
        <v>0.015</v>
      </c>
      <c r="D72" s="94">
        <f t="shared" si="0"/>
        <v>32.1165228181248</v>
      </c>
    </row>
    <row r="73" ht="13.75" spans="1:4">
      <c r="A73" s="163" t="s">
        <v>112</v>
      </c>
      <c r="B73" s="40" t="s">
        <v>113</v>
      </c>
      <c r="C73" s="96">
        <v>0.01</v>
      </c>
      <c r="D73" s="94">
        <f t="shared" si="0"/>
        <v>21.4110152120832</v>
      </c>
    </row>
    <row r="74" ht="13.75" spans="1:4">
      <c r="A74" s="163" t="s">
        <v>114</v>
      </c>
      <c r="B74" s="40" t="s">
        <v>115</v>
      </c>
      <c r="C74" s="96">
        <v>0.006</v>
      </c>
      <c r="D74" s="94">
        <f t="shared" si="0"/>
        <v>12.8466091272499</v>
      </c>
    </row>
    <row r="75" ht="13.75" spans="1:4">
      <c r="A75" s="163" t="s">
        <v>116</v>
      </c>
      <c r="B75" s="40" t="s">
        <v>117</v>
      </c>
      <c r="C75" s="96">
        <v>0.002</v>
      </c>
      <c r="D75" s="94">
        <f t="shared" si="0"/>
        <v>4.28220304241664</v>
      </c>
    </row>
    <row r="76" ht="13.75" spans="1:4">
      <c r="A76" s="168" t="s">
        <v>118</v>
      </c>
      <c r="B76" s="100" t="s">
        <v>119</v>
      </c>
      <c r="C76" s="101">
        <v>0.08</v>
      </c>
      <c r="D76" s="94">
        <f t="shared" si="0"/>
        <v>171.288121696666</v>
      </c>
    </row>
    <row r="77" ht="13.75" spans="1:4">
      <c r="A77" s="49" t="s">
        <v>100</v>
      </c>
      <c r="B77" s="50"/>
      <c r="C77" s="171">
        <f>C69+C70+C71+C72+C73+C74+C75+C76</f>
        <v>0.358</v>
      </c>
      <c r="D77" s="105">
        <f>D69+D70+D71+D72+D73+D74+D75+D76</f>
        <v>766.514344592579</v>
      </c>
    </row>
    <row r="78" ht="31.5" customHeight="1" spans="1:4">
      <c r="A78" s="106" t="s">
        <v>120</v>
      </c>
      <c r="B78" s="106"/>
      <c r="C78" s="106"/>
      <c r="D78" s="106"/>
    </row>
    <row r="79" ht="33" customHeight="1" spans="1:4">
      <c r="A79" s="107" t="s">
        <v>121</v>
      </c>
      <c r="B79" s="107"/>
      <c r="C79" s="107"/>
      <c r="D79" s="107"/>
    </row>
    <row r="80" ht="24.75" customHeight="1" spans="1:4">
      <c r="A80" s="45" t="s">
        <v>122</v>
      </c>
      <c r="B80" s="45"/>
      <c r="C80" s="45"/>
      <c r="D80" s="45"/>
    </row>
    <row r="81" spans="1:4">
      <c r="A81" s="47"/>
      <c r="B81" s="47"/>
      <c r="C81" s="47"/>
      <c r="D81" s="47"/>
    </row>
    <row r="82" ht="16.5" customHeight="1" spans="1:4">
      <c r="A82" s="47" t="s">
        <v>123</v>
      </c>
      <c r="B82" s="45"/>
      <c r="C82" s="45"/>
      <c r="D82" s="45"/>
    </row>
    <row r="83" ht="13.75" spans="1:4">
      <c r="A83" s="49" t="s">
        <v>124</v>
      </c>
      <c r="B83" s="108" t="s">
        <v>125</v>
      </c>
      <c r="C83" s="109"/>
      <c r="D83" s="48" t="s">
        <v>89</v>
      </c>
    </row>
    <row r="84" spans="1:4">
      <c r="A84" s="51" t="s">
        <v>57</v>
      </c>
      <c r="B84" s="110" t="s">
        <v>126</v>
      </c>
      <c r="C84" s="110"/>
      <c r="D84" s="111">
        <f>(2*24.7143*3.45)-(D48*6%)</f>
        <v>80.89782936</v>
      </c>
    </row>
    <row r="85" ht="12.75" customHeight="1" spans="1:4">
      <c r="A85" s="112" t="s">
        <v>59</v>
      </c>
      <c r="B85" s="92" t="s">
        <v>127</v>
      </c>
      <c r="C85" s="92"/>
      <c r="D85" s="113">
        <f>(7.35*80%)*22</f>
        <v>129.36</v>
      </c>
    </row>
    <row r="86" spans="1:4">
      <c r="A86" s="95" t="s">
        <v>62</v>
      </c>
      <c r="B86" s="40" t="s">
        <v>128</v>
      </c>
      <c r="C86" s="40"/>
      <c r="D86" s="114">
        <v>60</v>
      </c>
    </row>
    <row r="87" ht="13.75" spans="1:4">
      <c r="A87" s="223" t="s">
        <v>64</v>
      </c>
      <c r="B87" s="224" t="s">
        <v>129</v>
      </c>
      <c r="C87" s="224"/>
      <c r="D87" s="115">
        <v>0</v>
      </c>
    </row>
    <row r="88" ht="13.75" spans="1:4">
      <c r="A88" s="225" t="s">
        <v>100</v>
      </c>
      <c r="B88" s="226"/>
      <c r="C88" s="226"/>
      <c r="D88" s="105">
        <f>SUM(D84:D87)</f>
        <v>270.25782936</v>
      </c>
    </row>
    <row r="89" spans="1:4">
      <c r="A89" s="117"/>
      <c r="B89" s="117"/>
      <c r="C89" s="117"/>
      <c r="D89" s="86"/>
    </row>
    <row r="90" ht="28.5" customHeight="1" spans="1:4">
      <c r="A90" s="87" t="s">
        <v>130</v>
      </c>
      <c r="B90" s="87"/>
      <c r="C90" s="87"/>
      <c r="D90" s="87"/>
    </row>
    <row r="91" ht="1.5" customHeight="1" spans="1:4">
      <c r="A91" s="45"/>
      <c r="B91" s="45"/>
      <c r="C91" s="45"/>
      <c r="D91" s="45"/>
    </row>
    <row r="92" ht="28.5" customHeight="1" spans="1:4">
      <c r="A92" s="118" t="s">
        <v>131</v>
      </c>
      <c r="B92" s="118"/>
      <c r="C92" s="118"/>
      <c r="D92" s="118"/>
    </row>
    <row r="93" spans="1:4">
      <c r="A93" s="45"/>
      <c r="B93" s="45"/>
      <c r="C93" s="45"/>
      <c r="D93" s="45"/>
    </row>
    <row r="94" spans="1:4">
      <c r="A94" s="16" t="s">
        <v>132</v>
      </c>
      <c r="B94" s="16"/>
      <c r="C94" s="16"/>
      <c r="D94" s="16"/>
    </row>
    <row r="95" ht="13.75" spans="1:4">
      <c r="A95" s="47"/>
      <c r="B95" s="47"/>
      <c r="C95" s="47"/>
      <c r="D95" s="47"/>
    </row>
    <row r="96" ht="13.75" spans="1:4">
      <c r="A96" s="48">
        <v>2</v>
      </c>
      <c r="B96" s="108" t="s">
        <v>133</v>
      </c>
      <c r="C96" s="109"/>
      <c r="D96" s="48" t="s">
        <v>89</v>
      </c>
    </row>
    <row r="97" spans="1:4">
      <c r="A97" s="112" t="s">
        <v>96</v>
      </c>
      <c r="B97" s="119" t="s">
        <v>134</v>
      </c>
      <c r="C97" s="120"/>
      <c r="D97" s="113">
        <v>290.4039236736</v>
      </c>
    </row>
    <row r="98" spans="1:4">
      <c r="A98" s="112" t="s">
        <v>105</v>
      </c>
      <c r="B98" s="37" t="s">
        <v>106</v>
      </c>
      <c r="C98" s="38"/>
      <c r="D98" s="113">
        <v>638.761953827149</v>
      </c>
    </row>
    <row r="99" ht="13.75" spans="1:4">
      <c r="A99" s="99" t="s">
        <v>124</v>
      </c>
      <c r="B99" s="121" t="s">
        <v>135</v>
      </c>
      <c r="C99" s="122"/>
      <c r="D99" s="115">
        <v>270.25782936</v>
      </c>
    </row>
    <row r="100" ht="13.75" spans="1:4">
      <c r="A100" s="59" t="s">
        <v>100</v>
      </c>
      <c r="B100" s="60"/>
      <c r="C100" s="61"/>
      <c r="D100" s="105">
        <f>SUM(D97:D99)</f>
        <v>1199.42370686075</v>
      </c>
    </row>
    <row r="101" spans="1:4">
      <c r="A101" s="123"/>
      <c r="B101" s="123"/>
      <c r="C101" s="123"/>
      <c r="D101" s="123"/>
    </row>
    <row r="102" ht="15.75" customHeight="1" spans="1:4">
      <c r="A102" s="138" t="s">
        <v>136</v>
      </c>
      <c r="B102" s="138"/>
      <c r="C102" s="138"/>
      <c r="D102" s="138"/>
    </row>
    <row r="103" ht="15.75" customHeight="1" spans="1:4">
      <c r="A103" s="125">
        <v>3</v>
      </c>
      <c r="B103" s="125" t="s">
        <v>137</v>
      </c>
      <c r="C103" s="74"/>
      <c r="D103" s="71" t="s">
        <v>89</v>
      </c>
    </row>
    <row r="104" spans="1:5">
      <c r="A104" s="126" t="s">
        <v>57</v>
      </c>
      <c r="B104" s="76" t="s">
        <v>138</v>
      </c>
      <c r="C104" s="76"/>
      <c r="D104" s="127">
        <f>0.75%*D50</f>
        <v>13.444626096</v>
      </c>
      <c r="E104" s="2" t="s">
        <v>39</v>
      </c>
    </row>
    <row r="105" ht="14.25" customHeight="1" spans="1:5">
      <c r="A105" s="128" t="s">
        <v>59</v>
      </c>
      <c r="B105" s="129" t="s">
        <v>139</v>
      </c>
      <c r="C105" s="129"/>
      <c r="D105" s="130">
        <f>0.06%*D50</f>
        <v>1.07557008768</v>
      </c>
      <c r="E105" s="221" t="s">
        <v>39</v>
      </c>
    </row>
    <row r="106" ht="25.5" customHeight="1" spans="1:5">
      <c r="A106" s="128" t="s">
        <v>62</v>
      </c>
      <c r="B106" s="129" t="s">
        <v>140</v>
      </c>
      <c r="C106" s="129"/>
      <c r="D106" s="130">
        <f>3.44%*D50</f>
        <v>61.66601836032</v>
      </c>
      <c r="E106" s="2" t="s">
        <v>39</v>
      </c>
    </row>
    <row r="107" ht="14.25" customHeight="1" spans="1:5">
      <c r="A107" s="128" t="s">
        <v>64</v>
      </c>
      <c r="B107" s="129" t="s">
        <v>141</v>
      </c>
      <c r="C107" s="129"/>
      <c r="D107" s="130">
        <f>(((1/30)*7)/6)*D50+0.02</f>
        <v>69.7328760533333</v>
      </c>
      <c r="E107" s="2" t="s">
        <v>39</v>
      </c>
    </row>
    <row r="108" ht="25.5" customHeight="1" spans="1:5">
      <c r="A108" s="128" t="s">
        <v>112</v>
      </c>
      <c r="B108" s="129" t="s">
        <v>142</v>
      </c>
      <c r="C108" s="129"/>
      <c r="D108" s="130">
        <f>1.39%*D50</f>
        <v>24.91737369792</v>
      </c>
      <c r="E108" s="2" t="s">
        <v>39</v>
      </c>
    </row>
    <row r="109" ht="26.25" customHeight="1" spans="1:5">
      <c r="A109" s="131" t="s">
        <v>114</v>
      </c>
      <c r="B109" s="80" t="s">
        <v>143</v>
      </c>
      <c r="C109" s="80"/>
      <c r="D109" s="132">
        <f>0.04%*D50</f>
        <v>0.71704672512</v>
      </c>
      <c r="E109" s="2" t="s">
        <v>39</v>
      </c>
    </row>
    <row r="110" ht="13.5" customHeight="1" spans="1:4">
      <c r="A110" s="227" t="s">
        <v>100</v>
      </c>
      <c r="B110" s="228"/>
      <c r="C110" s="228"/>
      <c r="D110" s="84">
        <f>SUM(D104:D109)</f>
        <v>171.553511020373</v>
      </c>
    </row>
    <row r="111" spans="1:4">
      <c r="A111" s="229"/>
      <c r="B111" s="229"/>
      <c r="C111" s="229"/>
      <c r="D111" s="229"/>
    </row>
    <row r="112" spans="1:4">
      <c r="A112" s="138" t="s">
        <v>144</v>
      </c>
      <c r="B112" s="138"/>
      <c r="C112" s="138"/>
      <c r="D112" s="138"/>
    </row>
    <row r="113" spans="1:4">
      <c r="A113" s="138"/>
      <c r="B113" s="138"/>
      <c r="C113" s="138"/>
      <c r="D113" s="138"/>
    </row>
    <row r="114" spans="1:4">
      <c r="A114" s="230" t="s">
        <v>145</v>
      </c>
      <c r="B114" s="230"/>
      <c r="C114" s="230"/>
      <c r="D114" s="230"/>
    </row>
    <row r="115" ht="43.5" customHeight="1" spans="1:4">
      <c r="A115" s="230"/>
      <c r="B115" s="230"/>
      <c r="C115" s="230"/>
      <c r="D115" s="230"/>
    </row>
    <row r="116" ht="1.5" customHeight="1" spans="1:4">
      <c r="A116" s="139"/>
      <c r="B116" s="139"/>
      <c r="C116" s="139"/>
      <c r="D116" s="139"/>
    </row>
    <row r="117" ht="2.25" customHeight="1" spans="1:4">
      <c r="A117" s="139"/>
      <c r="B117" s="139"/>
      <c r="C117" s="139"/>
      <c r="D117" s="139"/>
    </row>
    <row r="118" spans="1:4">
      <c r="A118" s="139"/>
      <c r="B118" s="139"/>
      <c r="C118" s="139"/>
      <c r="D118" s="139"/>
    </row>
    <row r="119" ht="24.75" customHeight="1" spans="1:4">
      <c r="A119" s="124" t="s">
        <v>146</v>
      </c>
      <c r="B119" s="124"/>
      <c r="C119" s="124"/>
      <c r="D119" s="124"/>
    </row>
    <row r="120" ht="15.75" customHeight="1" spans="1:4">
      <c r="A120" s="71" t="s">
        <v>147</v>
      </c>
      <c r="B120" s="125" t="s">
        <v>148</v>
      </c>
      <c r="C120" s="83"/>
      <c r="D120" s="71" t="s">
        <v>89</v>
      </c>
    </row>
    <row r="121" ht="14.25" customHeight="1" spans="1:4">
      <c r="A121" s="126" t="s">
        <v>57</v>
      </c>
      <c r="B121" s="76" t="s">
        <v>149</v>
      </c>
      <c r="C121" s="76"/>
      <c r="D121" s="143">
        <f>D50*8.33%</f>
        <v>149.32498050624</v>
      </c>
    </row>
    <row r="122" spans="1:5">
      <c r="A122" s="128" t="s">
        <v>59</v>
      </c>
      <c r="B122" s="129" t="s">
        <v>150</v>
      </c>
      <c r="C122" s="129"/>
      <c r="D122" s="143">
        <f>0.82%*D50</f>
        <v>14.69945786496</v>
      </c>
      <c r="E122" s="2" t="s">
        <v>39</v>
      </c>
    </row>
    <row r="123" spans="1:6">
      <c r="A123" s="128" t="s">
        <v>62</v>
      </c>
      <c r="B123" s="129" t="s">
        <v>151</v>
      </c>
      <c r="C123" s="129"/>
      <c r="D123" s="143">
        <f>0.02%*D50</f>
        <v>0.35852336256</v>
      </c>
      <c r="E123" s="2" t="s">
        <v>39</v>
      </c>
      <c r="F123" s="231" t="s">
        <v>39</v>
      </c>
    </row>
    <row r="124" spans="1:5">
      <c r="A124" s="128" t="s">
        <v>64</v>
      </c>
      <c r="B124" s="129" t="s">
        <v>152</v>
      </c>
      <c r="C124" s="129"/>
      <c r="D124" s="143">
        <f>0.13%*D50</f>
        <v>2.33040185664</v>
      </c>
      <c r="E124" s="2" t="s">
        <v>39</v>
      </c>
    </row>
    <row r="125" spans="1:5">
      <c r="A125" s="128" t="s">
        <v>112</v>
      </c>
      <c r="B125" s="129" t="s">
        <v>153</v>
      </c>
      <c r="C125" s="129"/>
      <c r="D125" s="143">
        <f>0.03%*D50</f>
        <v>0.53778504384</v>
      </c>
      <c r="E125" s="2" t="s">
        <v>39</v>
      </c>
    </row>
    <row r="126" ht="13.75" spans="1:4">
      <c r="A126" s="131" t="s">
        <v>114</v>
      </c>
      <c r="B126" s="80" t="s">
        <v>154</v>
      </c>
      <c r="C126" s="80"/>
      <c r="D126" s="143">
        <f>$D$50*C126</f>
        <v>0</v>
      </c>
    </row>
    <row r="127" ht="13.5" customHeight="1" spans="1:4">
      <c r="A127" s="227" t="s">
        <v>100</v>
      </c>
      <c r="B127" s="228"/>
      <c r="C127" s="228"/>
      <c r="D127" s="84">
        <f>SUM(D121:D126)</f>
        <v>167.25114863424</v>
      </c>
    </row>
    <row r="128" spans="1:4">
      <c r="A128" s="123"/>
      <c r="B128" s="123"/>
      <c r="C128" s="123"/>
      <c r="D128" s="123"/>
    </row>
    <row r="129" spans="1:4">
      <c r="A129" s="232"/>
      <c r="B129" s="232"/>
      <c r="C129" s="232"/>
      <c r="D129" s="233"/>
    </row>
    <row r="130" ht="13.75" spans="1:4">
      <c r="A130" s="138" t="s">
        <v>155</v>
      </c>
      <c r="B130" s="138"/>
      <c r="C130" s="138"/>
      <c r="D130" s="138"/>
    </row>
    <row r="131" ht="15.75" customHeight="1" spans="1:4">
      <c r="A131" s="48">
        <v>5</v>
      </c>
      <c r="B131" s="49" t="s">
        <v>156</v>
      </c>
      <c r="C131" s="50"/>
      <c r="D131" s="48" t="s">
        <v>89</v>
      </c>
    </row>
    <row r="132" spans="1:4">
      <c r="A132" s="51" t="s">
        <v>57</v>
      </c>
      <c r="B132" s="234" t="s">
        <v>157</v>
      </c>
      <c r="C132" s="234">
        <v>0.0004</v>
      </c>
      <c r="D132" s="235">
        <v>100</v>
      </c>
    </row>
    <row r="133" ht="13.75" spans="1:4">
      <c r="A133" s="54" t="s">
        <v>59</v>
      </c>
      <c r="B133" s="236" t="s">
        <v>158</v>
      </c>
      <c r="C133" s="236" t="e">
        <f>C132*#REF!</f>
        <v>#REF!</v>
      </c>
      <c r="D133" s="237"/>
    </row>
    <row r="134" ht="13.75" spans="1:4">
      <c r="A134" s="225" t="s">
        <v>100</v>
      </c>
      <c r="B134" s="226"/>
      <c r="C134" s="226"/>
      <c r="D134" s="105">
        <f>SUM(D132:D133)</f>
        <v>100</v>
      </c>
    </row>
    <row r="135" spans="1:4">
      <c r="A135" s="156"/>
      <c r="B135" s="156"/>
      <c r="C135" s="156"/>
      <c r="D135" s="86"/>
    </row>
    <row r="136" spans="1:4">
      <c r="A136" s="27" t="s">
        <v>159</v>
      </c>
      <c r="B136" s="157"/>
      <c r="C136" s="147"/>
      <c r="D136" s="158"/>
    </row>
    <row r="137" spans="1:4">
      <c r="A137" s="145"/>
      <c r="B137" s="157"/>
      <c r="C137" s="147"/>
      <c r="D137" s="158"/>
    </row>
    <row r="138" ht="13.75" spans="1:4">
      <c r="A138" s="138" t="s">
        <v>160</v>
      </c>
      <c r="B138" s="138"/>
      <c r="C138" s="138"/>
      <c r="D138" s="138"/>
    </row>
    <row r="139" ht="13.75" spans="1:4">
      <c r="A139" s="49">
        <v>6</v>
      </c>
      <c r="B139" s="48" t="s">
        <v>161</v>
      </c>
      <c r="C139" s="48" t="s">
        <v>107</v>
      </c>
      <c r="D139" s="48" t="s">
        <v>89</v>
      </c>
    </row>
    <row r="140" spans="1:4">
      <c r="A140" s="112" t="s">
        <v>57</v>
      </c>
      <c r="B140" s="160" t="s">
        <v>162</v>
      </c>
      <c r="C140" s="161">
        <v>0.03</v>
      </c>
      <c r="D140" s="238">
        <v>92.2683480171878</v>
      </c>
    </row>
    <row r="141" spans="1:5">
      <c r="A141" s="95" t="s">
        <v>59</v>
      </c>
      <c r="B141" s="164" t="s">
        <v>163</v>
      </c>
      <c r="C141" s="161">
        <v>0.0325</v>
      </c>
      <c r="D141" s="239">
        <v>99.9573770186201</v>
      </c>
      <c r="E141" s="2" t="s">
        <v>39</v>
      </c>
    </row>
    <row r="142" spans="1:5">
      <c r="A142" s="95" t="s">
        <v>62</v>
      </c>
      <c r="B142" s="164" t="s">
        <v>164</v>
      </c>
      <c r="C142" s="165">
        <f>SUM(C143:C145)</f>
        <v>0.1425</v>
      </c>
      <c r="D142" s="239" t="s">
        <v>39</v>
      </c>
      <c r="E142" s="240" t="s">
        <v>39</v>
      </c>
    </row>
    <row r="143" ht="27.75" customHeight="1" spans="1:6">
      <c r="A143" s="95"/>
      <c r="B143" s="166" t="s">
        <v>165</v>
      </c>
      <c r="C143" s="161">
        <v>0.0925</v>
      </c>
      <c r="D143" s="239">
        <v>352.51</v>
      </c>
      <c r="E143" s="241"/>
      <c r="F143" s="241"/>
    </row>
    <row r="144" ht="14.5" spans="1:5">
      <c r="A144" s="95"/>
      <c r="B144" s="40" t="s">
        <v>166</v>
      </c>
      <c r="C144" s="167"/>
      <c r="D144" s="239">
        <v>0</v>
      </c>
      <c r="E144" s="2" t="s">
        <v>39</v>
      </c>
    </row>
    <row r="145" ht="13.75" spans="1:5">
      <c r="A145" s="99"/>
      <c r="B145" s="40" t="s">
        <v>167</v>
      </c>
      <c r="C145" s="169">
        <v>0.05</v>
      </c>
      <c r="D145" s="242">
        <v>190.53</v>
      </c>
      <c r="E145" s="2" t="s">
        <v>39</v>
      </c>
    </row>
    <row r="146" ht="15.25" spans="1:4">
      <c r="A146" s="59" t="s">
        <v>17</v>
      </c>
      <c r="B146" s="61"/>
      <c r="C146" s="171">
        <f>SUM(C140:C142)</f>
        <v>0.205</v>
      </c>
      <c r="D146" s="172">
        <f>SUM(D140:D145)</f>
        <v>735.265725035808</v>
      </c>
    </row>
    <row r="147" spans="1:4">
      <c r="A147" s="173"/>
      <c r="B147" s="173"/>
      <c r="C147" s="174"/>
      <c r="D147" s="86"/>
    </row>
    <row r="148" spans="1:6">
      <c r="A148" s="243" t="s">
        <v>168</v>
      </c>
      <c r="B148" s="243"/>
      <c r="C148" s="243"/>
      <c r="D148" s="243"/>
      <c r="F148" s="221"/>
    </row>
    <row r="149" ht="6" customHeight="1" spans="1:4">
      <c r="A149" s="243"/>
      <c r="B149" s="243"/>
      <c r="C149" s="243"/>
      <c r="D149" s="243"/>
    </row>
    <row r="150" spans="1:4">
      <c r="A150" s="243" t="s">
        <v>169</v>
      </c>
      <c r="B150" s="243"/>
      <c r="C150" s="243"/>
      <c r="D150" s="243"/>
    </row>
    <row r="151" spans="1:4">
      <c r="A151" s="145"/>
      <c r="B151" s="145"/>
      <c r="C151" s="146"/>
      <c r="D151" s="145"/>
    </row>
    <row r="152" ht="13.75" spans="1:4">
      <c r="A152" s="138" t="s">
        <v>170</v>
      </c>
      <c r="B152" s="138"/>
      <c r="C152" s="138"/>
      <c r="D152" s="138"/>
    </row>
    <row r="153" ht="15" customHeight="1" spans="1:4">
      <c r="A153" s="244" t="s">
        <v>171</v>
      </c>
      <c r="B153" s="245"/>
      <c r="C153" s="246"/>
      <c r="D153" s="48" t="s">
        <v>89</v>
      </c>
    </row>
    <row r="154" spans="1:4">
      <c r="A154" s="178" t="s">
        <v>57</v>
      </c>
      <c r="B154" s="179" t="s">
        <v>172</v>
      </c>
      <c r="C154" s="180"/>
      <c r="D154" s="111">
        <f>D50</f>
        <v>1792.6168128</v>
      </c>
    </row>
    <row r="155" ht="12.75" customHeight="1" spans="1:4">
      <c r="A155" s="181" t="s">
        <v>59</v>
      </c>
      <c r="B155" s="182" t="s">
        <v>173</v>
      </c>
      <c r="C155" s="183"/>
      <c r="D155" s="184">
        <f>D100</f>
        <v>1199.42370686075</v>
      </c>
    </row>
    <row r="156" spans="1:4">
      <c r="A156" s="181" t="s">
        <v>62</v>
      </c>
      <c r="B156" s="185" t="s">
        <v>174</v>
      </c>
      <c r="C156" s="186"/>
      <c r="D156" s="184">
        <f>D110</f>
        <v>171.553511020373</v>
      </c>
    </row>
    <row r="157" spans="1:4">
      <c r="A157" s="181" t="s">
        <v>64</v>
      </c>
      <c r="B157" s="247" t="s">
        <v>175</v>
      </c>
      <c r="C157" s="248"/>
      <c r="D157" s="189">
        <f>D127</f>
        <v>167.25114863424</v>
      </c>
    </row>
    <row r="158" spans="1:4">
      <c r="A158" s="249" t="s">
        <v>112</v>
      </c>
      <c r="B158" s="250" t="s">
        <v>176</v>
      </c>
      <c r="C158" s="250"/>
      <c r="D158" s="193">
        <f>D134</f>
        <v>100</v>
      </c>
    </row>
    <row r="159" ht="12.75" customHeight="1" spans="1:4">
      <c r="A159" s="251" t="s">
        <v>177</v>
      </c>
      <c r="B159" s="252"/>
      <c r="C159" s="253"/>
      <c r="D159" s="193">
        <f>SUM(D154:D158)</f>
        <v>3430.84517931536</v>
      </c>
    </row>
    <row r="160" ht="15.25" spans="1:5">
      <c r="A160" s="190" t="s">
        <v>114</v>
      </c>
      <c r="B160" s="254" t="s">
        <v>178</v>
      </c>
      <c r="C160" s="255"/>
      <c r="D160" s="200">
        <f>D146</f>
        <v>735.265725035808</v>
      </c>
      <c r="E160" s="221"/>
    </row>
    <row r="161" ht="13.75" spans="1:4">
      <c r="A161" s="59" t="s">
        <v>179</v>
      </c>
      <c r="B161" s="60"/>
      <c r="C161" s="61"/>
      <c r="D161" s="105">
        <f>SUM(D159:D160)</f>
        <v>4166.11090435117</v>
      </c>
    </row>
    <row r="162" spans="1:4">
      <c r="A162" s="145"/>
      <c r="B162" s="157"/>
      <c r="C162" s="147"/>
      <c r="D162" s="158" t="s">
        <v>39</v>
      </c>
    </row>
  </sheetData>
  <mergeCells count="105">
    <mergeCell ref="A1:D1"/>
    <mergeCell ref="A3:D3"/>
    <mergeCell ref="A5:D5"/>
    <mergeCell ref="A6:D6"/>
    <mergeCell ref="A7:D7"/>
    <mergeCell ref="A8:D8"/>
    <mergeCell ref="A10:D10"/>
    <mergeCell ref="B12:C12"/>
    <mergeCell ref="B13:C13"/>
    <mergeCell ref="B14:C14"/>
    <mergeCell ref="B15:C15"/>
    <mergeCell ref="A18:D18"/>
    <mergeCell ref="A20:B20"/>
    <mergeCell ref="A21:B21"/>
    <mergeCell ref="A23:D23"/>
    <mergeCell ref="A25:D25"/>
    <mergeCell ref="A27:D27"/>
    <mergeCell ref="A33:C33"/>
    <mergeCell ref="A34:D34"/>
    <mergeCell ref="B35:C35"/>
    <mergeCell ref="B36:C36"/>
    <mergeCell ref="B37:C37"/>
    <mergeCell ref="B38:C38"/>
    <mergeCell ref="B39:C39"/>
    <mergeCell ref="A41:C41"/>
    <mergeCell ref="A45:D45"/>
    <mergeCell ref="B47:C47"/>
    <mergeCell ref="B48:C48"/>
    <mergeCell ref="B49:C49"/>
    <mergeCell ref="A50:C50"/>
    <mergeCell ref="A52:D52"/>
    <mergeCell ref="A54:D54"/>
    <mergeCell ref="A56:D56"/>
    <mergeCell ref="B57:C57"/>
    <mergeCell ref="B58:C58"/>
    <mergeCell ref="B59:C59"/>
    <mergeCell ref="B60:C60"/>
    <mergeCell ref="A61:C61"/>
    <mergeCell ref="A63:D63"/>
    <mergeCell ref="A64:D64"/>
    <mergeCell ref="A65:D65"/>
    <mergeCell ref="A67:D67"/>
    <mergeCell ref="A77:B77"/>
    <mergeCell ref="A78:D78"/>
    <mergeCell ref="A79:D79"/>
    <mergeCell ref="A80:D80"/>
    <mergeCell ref="A82:D82"/>
    <mergeCell ref="B83:C83"/>
    <mergeCell ref="B84:C84"/>
    <mergeCell ref="B85:C85"/>
    <mergeCell ref="B86:C86"/>
    <mergeCell ref="B87:C87"/>
    <mergeCell ref="A88:C88"/>
    <mergeCell ref="A90:D90"/>
    <mergeCell ref="A92:D92"/>
    <mergeCell ref="A94:D94"/>
    <mergeCell ref="A95:D95"/>
    <mergeCell ref="B96:C96"/>
    <mergeCell ref="B97:C97"/>
    <mergeCell ref="B98:C98"/>
    <mergeCell ref="B99:C99"/>
    <mergeCell ref="A100:C100"/>
    <mergeCell ref="A101:D101"/>
    <mergeCell ref="A102:D102"/>
    <mergeCell ref="B103:C103"/>
    <mergeCell ref="B104:C104"/>
    <mergeCell ref="B105:C105"/>
    <mergeCell ref="B106:C106"/>
    <mergeCell ref="B107:C107"/>
    <mergeCell ref="B108:C108"/>
    <mergeCell ref="B109:C109"/>
    <mergeCell ref="A110:C110"/>
    <mergeCell ref="A112:D112"/>
    <mergeCell ref="A117:D117"/>
    <mergeCell ref="A119:D119"/>
    <mergeCell ref="B120:C120"/>
    <mergeCell ref="B121:C121"/>
    <mergeCell ref="B122:C122"/>
    <mergeCell ref="B123:C123"/>
    <mergeCell ref="B124:C124"/>
    <mergeCell ref="B125:C125"/>
    <mergeCell ref="B126:C126"/>
    <mergeCell ref="A127:C127"/>
    <mergeCell ref="A128:D128"/>
    <mergeCell ref="A130:D130"/>
    <mergeCell ref="B131:C131"/>
    <mergeCell ref="B132:C132"/>
    <mergeCell ref="B133:C133"/>
    <mergeCell ref="A134:C134"/>
    <mergeCell ref="A138:D138"/>
    <mergeCell ref="E143:F143"/>
    <mergeCell ref="A146:B146"/>
    <mergeCell ref="A148:D148"/>
    <mergeCell ref="A150:D150"/>
    <mergeCell ref="A152:D152"/>
    <mergeCell ref="A153:C153"/>
    <mergeCell ref="B154:C154"/>
    <mergeCell ref="B155:C155"/>
    <mergeCell ref="B156:C156"/>
    <mergeCell ref="B157:C157"/>
    <mergeCell ref="B158:C158"/>
    <mergeCell ref="A159:C159"/>
    <mergeCell ref="B160:C160"/>
    <mergeCell ref="A161:C161"/>
    <mergeCell ref="A114:D115"/>
  </mergeCells>
  <printOptions horizontalCentered="1" verticalCentered="1"/>
  <pageMargins left="0.511811023622047" right="0.511811023622047" top="1.42666666666667" bottom="0.78740157480315" header="0.31496062992126" footer="0.31496062992126"/>
  <pageSetup paperSize="9" scale="58" fitToHeight="0" orientation="portrait"/>
  <headerFooter>
    <oddHeader>&amp;C&amp;G</oddHeader>
    <oddFooter>&amp;C&amp;G</oddFooter>
  </headerFooter>
  <rowBreaks count="2" manualBreakCount="2">
    <brk id="53" max="16383" man="1"/>
    <brk id="110" max="16383" man="1"/>
  </rowBreaks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3"/>
  <sheetViews>
    <sheetView view="pageBreakPreview" zoomScaleNormal="100" topLeftCell="A108" workbookViewId="0">
      <selection activeCell="D122" sqref="D122:D127"/>
    </sheetView>
  </sheetViews>
  <sheetFormatPr defaultColWidth="9" defaultRowHeight="14.5" outlineLevelCol="3"/>
  <cols>
    <col min="1" max="1" width="11.4272727272727" customWidth="1"/>
    <col min="2" max="2" width="44.2818181818182" customWidth="1"/>
    <col min="3" max="3" width="30.5727272727273" customWidth="1"/>
    <col min="4" max="4" width="30" customWidth="1"/>
  </cols>
  <sheetData>
    <row r="1" spans="1:4">
      <c r="A1" s="1" t="s">
        <v>180</v>
      </c>
      <c r="B1" s="1"/>
      <c r="C1" s="1"/>
      <c r="D1" s="1"/>
    </row>
    <row r="2" spans="1:4">
      <c r="A2" s="1"/>
      <c r="B2" s="1"/>
      <c r="C2" s="1"/>
      <c r="D2" s="2"/>
    </row>
    <row r="3" spans="1:4">
      <c r="A3" s="3" t="s">
        <v>52</v>
      </c>
      <c r="B3" s="3"/>
      <c r="C3" s="3"/>
      <c r="D3" s="3"/>
    </row>
    <row r="4" spans="1:4">
      <c r="A4" s="2"/>
      <c r="B4" s="2"/>
      <c r="C4" s="2"/>
      <c r="D4" s="2"/>
    </row>
    <row r="5" spans="1:4">
      <c r="A5" s="3" t="s">
        <v>53</v>
      </c>
      <c r="B5" s="3"/>
      <c r="C5" s="3"/>
      <c r="D5" s="3"/>
    </row>
    <row r="6" spans="1:4">
      <c r="A6" s="4" t="s">
        <v>181</v>
      </c>
      <c r="B6" s="4"/>
      <c r="C6" s="4"/>
      <c r="D6" s="4"/>
    </row>
    <row r="7" spans="1:4">
      <c r="A7" s="4" t="s">
        <v>182</v>
      </c>
      <c r="B7" s="4"/>
      <c r="C7" s="4"/>
      <c r="D7" s="4"/>
    </row>
    <row r="8" spans="1:4">
      <c r="A8" s="5" t="s">
        <v>55</v>
      </c>
      <c r="B8" s="5"/>
      <c r="C8" s="5"/>
      <c r="D8" s="5"/>
    </row>
    <row r="9" spans="1:4">
      <c r="A9" s="3"/>
      <c r="B9" s="3"/>
      <c r="C9" s="2"/>
      <c r="D9" s="2"/>
    </row>
    <row r="10" spans="1:4">
      <c r="A10" s="3" t="s">
        <v>56</v>
      </c>
      <c r="B10" s="3"/>
      <c r="C10" s="3"/>
      <c r="D10" s="3"/>
    </row>
    <row r="11" spans="1:4">
      <c r="A11" s="3"/>
      <c r="B11" s="3"/>
      <c r="C11" s="2"/>
      <c r="D11" s="2"/>
    </row>
    <row r="12" spans="1:4">
      <c r="A12" s="6" t="s">
        <v>57</v>
      </c>
      <c r="B12" s="7" t="s">
        <v>58</v>
      </c>
      <c r="C12" s="8"/>
      <c r="D12" s="9">
        <v>44203</v>
      </c>
    </row>
    <row r="13" spans="1:4">
      <c r="A13" s="6" t="s">
        <v>59</v>
      </c>
      <c r="B13" s="7" t="s">
        <v>60</v>
      </c>
      <c r="C13" s="8"/>
      <c r="D13" s="10" t="s">
        <v>61</v>
      </c>
    </row>
    <row r="14" spans="1:4">
      <c r="A14" s="6" t="s">
        <v>62</v>
      </c>
      <c r="B14" s="11" t="s">
        <v>63</v>
      </c>
      <c r="C14" s="12"/>
      <c r="D14" s="10" t="s">
        <v>183</v>
      </c>
    </row>
    <row r="15" spans="1:4">
      <c r="A15" s="6" t="s">
        <v>64</v>
      </c>
      <c r="B15" s="13" t="s">
        <v>184</v>
      </c>
      <c r="C15" s="14"/>
      <c r="D15" s="6">
        <v>180</v>
      </c>
    </row>
    <row r="16" spans="1:4">
      <c r="A16" s="3"/>
      <c r="B16" s="15"/>
      <c r="C16" s="15"/>
      <c r="D16" s="15"/>
    </row>
    <row r="17" spans="1:4">
      <c r="A17" s="3"/>
      <c r="B17" s="15"/>
      <c r="C17" s="15"/>
      <c r="D17" s="15"/>
    </row>
    <row r="18" spans="1:4">
      <c r="A18" s="16" t="s">
        <v>66</v>
      </c>
      <c r="B18" s="16"/>
      <c r="C18" s="16"/>
      <c r="D18" s="16"/>
    </row>
    <row r="19" spans="1:4">
      <c r="A19" s="2"/>
      <c r="B19" s="2"/>
      <c r="C19" s="2"/>
      <c r="D19" s="2"/>
    </row>
    <row r="20" ht="21" spans="1:4">
      <c r="A20" s="17" t="s">
        <v>67</v>
      </c>
      <c r="B20" s="17"/>
      <c r="C20" s="17" t="s">
        <v>185</v>
      </c>
      <c r="D20" s="18" t="s">
        <v>69</v>
      </c>
    </row>
    <row r="21" ht="60" customHeight="1" spans="1:4">
      <c r="A21" s="19" t="s">
        <v>186</v>
      </c>
      <c r="B21" s="19"/>
      <c r="C21" s="20" t="s">
        <v>2</v>
      </c>
      <c r="D21" s="21">
        <v>1</v>
      </c>
    </row>
    <row r="22" spans="1:4">
      <c r="A22" s="22"/>
      <c r="B22" s="22"/>
      <c r="C22" s="23"/>
      <c r="D22" s="24"/>
    </row>
    <row r="23" spans="1:4">
      <c r="A23" s="25" t="s">
        <v>71</v>
      </c>
      <c r="B23" s="25"/>
      <c r="C23" s="25"/>
      <c r="D23" s="25"/>
    </row>
    <row r="24" spans="1:4">
      <c r="A24" s="2"/>
      <c r="B24" s="2"/>
      <c r="C24" s="2"/>
      <c r="D24" s="2"/>
    </row>
    <row r="25" spans="1:4">
      <c r="A25" s="26" t="s">
        <v>72</v>
      </c>
      <c r="B25" s="26"/>
      <c r="C25" s="26"/>
      <c r="D25" s="26"/>
    </row>
    <row r="26" spans="1:4">
      <c r="A26" s="2"/>
      <c r="B26" s="2"/>
      <c r="C26" s="2"/>
      <c r="D26" s="2"/>
    </row>
    <row r="27" spans="1:4">
      <c r="A27" s="1"/>
      <c r="B27" s="1"/>
      <c r="C27" s="1"/>
      <c r="D27" s="1"/>
    </row>
    <row r="28" spans="1:4">
      <c r="A28" s="2"/>
      <c r="B28" s="2"/>
      <c r="C28" s="2"/>
      <c r="D28" s="2"/>
    </row>
    <row r="29" spans="1:4">
      <c r="A29" s="27" t="s">
        <v>73</v>
      </c>
      <c r="B29" s="2"/>
      <c r="C29" s="2"/>
      <c r="D29" s="2"/>
    </row>
    <row r="30" spans="1:4">
      <c r="A30" s="2"/>
      <c r="B30" s="2"/>
      <c r="C30" s="2"/>
      <c r="D30" s="2"/>
    </row>
    <row r="31" spans="1:4">
      <c r="A31" s="27" t="s">
        <v>74</v>
      </c>
      <c r="B31" s="2"/>
      <c r="C31" s="2"/>
      <c r="D31" s="2"/>
    </row>
    <row r="32" spans="1:4">
      <c r="A32" s="2"/>
      <c r="B32" s="2"/>
      <c r="C32" s="2"/>
      <c r="D32" s="2"/>
    </row>
    <row r="33" ht="15.25" spans="1:4">
      <c r="A33" s="28" t="s">
        <v>75</v>
      </c>
      <c r="B33" s="28"/>
      <c r="C33" s="28"/>
      <c r="D33" s="29"/>
    </row>
    <row r="34" ht="15.25" spans="1:4">
      <c r="A34" s="30" t="s">
        <v>76</v>
      </c>
      <c r="B34" s="31"/>
      <c r="C34" s="31"/>
      <c r="D34" s="32"/>
    </row>
    <row r="35" spans="1:4">
      <c r="A35" s="33">
        <v>1</v>
      </c>
      <c r="B35" s="34" t="s">
        <v>77</v>
      </c>
      <c r="C35" s="34"/>
      <c r="D35" s="35" t="s">
        <v>22</v>
      </c>
    </row>
    <row r="36" spans="1:4">
      <c r="A36" s="36">
        <v>2</v>
      </c>
      <c r="B36" s="37" t="s">
        <v>79</v>
      </c>
      <c r="C36" s="38"/>
      <c r="D36" s="35" t="s">
        <v>187</v>
      </c>
    </row>
    <row r="37" spans="1:4">
      <c r="A37" s="39">
        <v>3</v>
      </c>
      <c r="B37" s="40" t="s">
        <v>81</v>
      </c>
      <c r="C37" s="40"/>
      <c r="D37" s="41">
        <v>1493.85</v>
      </c>
    </row>
    <row r="38" spans="1:4">
      <c r="A38" s="39">
        <v>4</v>
      </c>
      <c r="B38" s="40" t="s">
        <v>82</v>
      </c>
      <c r="C38" s="40"/>
      <c r="D38" s="35" t="s">
        <v>22</v>
      </c>
    </row>
    <row r="39" ht="15.25" spans="1:4">
      <c r="A39" s="42">
        <v>5</v>
      </c>
      <c r="B39" s="43" t="s">
        <v>84</v>
      </c>
      <c r="C39" s="43"/>
      <c r="D39" s="44">
        <v>40360</v>
      </c>
    </row>
    <row r="40" spans="1:4">
      <c r="A40" s="24"/>
      <c r="B40" s="24"/>
      <c r="C40" s="24"/>
      <c r="D40" s="24"/>
    </row>
    <row r="41" spans="1:4">
      <c r="A41" s="45" t="s">
        <v>188</v>
      </c>
      <c r="B41" s="45"/>
      <c r="C41" s="45"/>
      <c r="D41" s="46"/>
    </row>
    <row r="42" spans="1:4">
      <c r="A42" s="45"/>
      <c r="B42" s="45"/>
      <c r="C42" s="45"/>
      <c r="D42" s="46"/>
    </row>
    <row r="43" spans="1:4">
      <c r="A43" s="2" t="s">
        <v>189</v>
      </c>
      <c r="B43" s="46"/>
      <c r="C43" s="46"/>
      <c r="D43" s="46"/>
    </row>
    <row r="44" spans="1:4">
      <c r="A44" s="2"/>
      <c r="B44" s="46"/>
      <c r="C44" s="46"/>
      <c r="D44" s="46"/>
    </row>
    <row r="45" spans="1:4">
      <c r="A45" s="47" t="s">
        <v>87</v>
      </c>
      <c r="B45" s="47"/>
      <c r="C45" s="47"/>
      <c r="D45" s="47"/>
    </row>
    <row r="46" ht="15.25" spans="1:4">
      <c r="A46" s="47"/>
      <c r="B46" s="47"/>
      <c r="C46" s="47"/>
      <c r="D46" s="47"/>
    </row>
    <row r="47" ht="15.25" spans="1:4">
      <c r="A47" s="48">
        <v>1</v>
      </c>
      <c r="B47" s="49" t="s">
        <v>88</v>
      </c>
      <c r="C47" s="50"/>
      <c r="D47" s="48" t="s">
        <v>89</v>
      </c>
    </row>
    <row r="48" spans="1:4">
      <c r="A48" s="51" t="s">
        <v>57</v>
      </c>
      <c r="B48" s="52" t="s">
        <v>90</v>
      </c>
      <c r="C48" s="52"/>
      <c r="D48" s="53">
        <f>D37</f>
        <v>1493.85</v>
      </c>
    </row>
    <row r="49" spans="1:4">
      <c r="A49" s="54" t="s">
        <v>59</v>
      </c>
      <c r="B49" s="55" t="s">
        <v>190</v>
      </c>
      <c r="C49" s="56"/>
      <c r="D49" s="57">
        <v>0</v>
      </c>
    </row>
    <row r="50" ht="15.75" customHeight="1" spans="1:4">
      <c r="A50" s="54" t="s">
        <v>62</v>
      </c>
      <c r="B50" s="55" t="s">
        <v>191</v>
      </c>
      <c r="C50" s="56"/>
      <c r="D50" s="58"/>
    </row>
    <row r="51" ht="15.25" spans="1:4">
      <c r="A51" s="59" t="s">
        <v>92</v>
      </c>
      <c r="B51" s="60"/>
      <c r="C51" s="61"/>
      <c r="D51" s="62">
        <f>SUM(D48:D50)</f>
        <v>1493.85</v>
      </c>
    </row>
    <row r="52" spans="1:4">
      <c r="A52" s="63"/>
      <c r="B52" s="64"/>
      <c r="C52" s="64"/>
      <c r="D52" s="65"/>
    </row>
    <row r="53" spans="1:4">
      <c r="A53" s="66" t="s">
        <v>192</v>
      </c>
      <c r="B53" s="66"/>
      <c r="C53" s="66"/>
      <c r="D53" s="66"/>
    </row>
    <row r="54" spans="1:4">
      <c r="A54" s="67"/>
      <c r="B54" s="68"/>
      <c r="C54" s="69"/>
      <c r="D54" s="70"/>
    </row>
    <row r="55" spans="1:4">
      <c r="A55" s="47" t="s">
        <v>94</v>
      </c>
      <c r="B55" s="47"/>
      <c r="C55" s="47"/>
      <c r="D55" s="47"/>
    </row>
    <row r="56" spans="1:4">
      <c r="A56" s="47"/>
      <c r="B56" s="47"/>
      <c r="C56" s="47"/>
      <c r="D56" s="47"/>
    </row>
    <row r="57" ht="15.25" spans="1:4">
      <c r="A57" s="47" t="s">
        <v>95</v>
      </c>
      <c r="B57" s="47"/>
      <c r="C57" s="47"/>
      <c r="D57" s="47"/>
    </row>
    <row r="58" ht="15.25" spans="1:4">
      <c r="A58" s="71" t="s">
        <v>96</v>
      </c>
      <c r="B58" s="72" t="s">
        <v>97</v>
      </c>
      <c r="C58" s="73"/>
      <c r="D58" s="74" t="s">
        <v>89</v>
      </c>
    </row>
    <row r="59" spans="1:4">
      <c r="A59" s="75" t="s">
        <v>57</v>
      </c>
      <c r="B59" s="76" t="s">
        <v>98</v>
      </c>
      <c r="C59" s="76"/>
      <c r="D59" s="77">
        <f>D51*8.33%</f>
        <v>124.437705</v>
      </c>
    </row>
    <row r="60" spans="1:4">
      <c r="A60" s="78" t="s">
        <v>59</v>
      </c>
      <c r="B60" s="79" t="s">
        <v>193</v>
      </c>
      <c r="C60" s="79"/>
      <c r="D60" s="77">
        <f>D51*8.33%</f>
        <v>124.437705</v>
      </c>
    </row>
    <row r="61" ht="15.25" spans="1:4">
      <c r="A61" s="78" t="s">
        <v>62</v>
      </c>
      <c r="B61" s="80" t="s">
        <v>99</v>
      </c>
      <c r="C61" s="80"/>
      <c r="D61" s="81">
        <f>D51*2.78%</f>
        <v>41.52903</v>
      </c>
    </row>
    <row r="62" ht="15.25" spans="1:4">
      <c r="A62" s="82" t="s">
        <v>100</v>
      </c>
      <c r="B62" s="83"/>
      <c r="C62" s="74"/>
      <c r="D62" s="84">
        <f>SUM(D59:D61)</f>
        <v>290.40444</v>
      </c>
    </row>
    <row r="63" spans="1:4">
      <c r="A63" s="63"/>
      <c r="B63" s="85"/>
      <c r="C63" s="85"/>
      <c r="D63" s="86"/>
    </row>
    <row r="64" ht="35.25" customHeight="1" spans="1:4">
      <c r="A64" s="66" t="s">
        <v>101</v>
      </c>
      <c r="B64" s="66"/>
      <c r="C64" s="66"/>
      <c r="D64" s="66"/>
    </row>
    <row r="65" ht="33.75" customHeight="1" spans="1:4">
      <c r="A65" s="87" t="s">
        <v>194</v>
      </c>
      <c r="B65" s="87"/>
      <c r="C65" s="87"/>
      <c r="D65" s="87"/>
    </row>
    <row r="66" ht="45.75" customHeight="1" spans="1:4">
      <c r="A66" s="88" t="s">
        <v>103</v>
      </c>
      <c r="B66" s="88"/>
      <c r="C66" s="88"/>
      <c r="D66" s="88"/>
    </row>
    <row r="67" spans="1:4">
      <c r="A67" s="45"/>
      <c r="B67" s="45"/>
      <c r="C67" s="45"/>
      <c r="D67" s="45"/>
    </row>
    <row r="68" ht="15.25" spans="1:4">
      <c r="A68" s="28" t="s">
        <v>104</v>
      </c>
      <c r="B68" s="89"/>
      <c r="C68" s="89"/>
      <c r="D68" s="89"/>
    </row>
    <row r="69" ht="15.25" spans="1:4">
      <c r="A69" s="49" t="s">
        <v>105</v>
      </c>
      <c r="B69" s="48" t="s">
        <v>106</v>
      </c>
      <c r="C69" s="90" t="s">
        <v>107</v>
      </c>
      <c r="D69" s="48" t="s">
        <v>89</v>
      </c>
    </row>
    <row r="70" ht="15.25" spans="1:4">
      <c r="A70" s="91" t="s">
        <v>57</v>
      </c>
      <c r="B70" s="92" t="s">
        <v>108</v>
      </c>
      <c r="C70" s="93">
        <v>0.2</v>
      </c>
      <c r="D70" s="94">
        <f>C70*(D51+D62)</f>
        <v>356.850888</v>
      </c>
    </row>
    <row r="71" ht="15.25" spans="1:4">
      <c r="A71" s="95" t="s">
        <v>59</v>
      </c>
      <c r="B71" s="40" t="s">
        <v>109</v>
      </c>
      <c r="C71" s="96">
        <v>0.025</v>
      </c>
      <c r="D71" s="94">
        <f>C71*(D51+D62)</f>
        <v>44.606361</v>
      </c>
    </row>
    <row r="72" ht="15.25" spans="1:4">
      <c r="A72" s="95" t="s">
        <v>62</v>
      </c>
      <c r="B72" s="97" t="s">
        <v>110</v>
      </c>
      <c r="C72" s="98">
        <v>0.02</v>
      </c>
      <c r="D72" s="94">
        <f>C72*(D51+D62)</f>
        <v>35.6850888</v>
      </c>
    </row>
    <row r="73" ht="15.25" spans="1:4">
      <c r="A73" s="95" t="s">
        <v>64</v>
      </c>
      <c r="B73" s="40" t="s">
        <v>111</v>
      </c>
      <c r="C73" s="96">
        <v>0.015</v>
      </c>
      <c r="D73" s="94">
        <f>C73*(D51+D62)</f>
        <v>26.7638166</v>
      </c>
    </row>
    <row r="74" ht="15.25" spans="1:4">
      <c r="A74" s="95" t="s">
        <v>112</v>
      </c>
      <c r="B74" s="40" t="s">
        <v>113</v>
      </c>
      <c r="C74" s="96">
        <v>0.01</v>
      </c>
      <c r="D74" s="94">
        <f>C74*(D51+D62)</f>
        <v>17.8425444</v>
      </c>
    </row>
    <row r="75" ht="15.25" spans="1:4">
      <c r="A75" s="95" t="s">
        <v>114</v>
      </c>
      <c r="B75" s="40" t="s">
        <v>115</v>
      </c>
      <c r="C75" s="96">
        <v>0.006</v>
      </c>
      <c r="D75" s="94">
        <f>C75*(D51+D62)</f>
        <v>10.70552664</v>
      </c>
    </row>
    <row r="76" ht="15.25" spans="1:4">
      <c r="A76" s="95" t="s">
        <v>116</v>
      </c>
      <c r="B76" s="40" t="s">
        <v>117</v>
      </c>
      <c r="C76" s="96">
        <v>0.002</v>
      </c>
      <c r="D76" s="94">
        <f>C76*(D51+D62)</f>
        <v>3.56850888</v>
      </c>
    </row>
    <row r="77" ht="15.25" spans="1:4">
      <c r="A77" s="99" t="s">
        <v>118</v>
      </c>
      <c r="B77" s="100" t="s">
        <v>119</v>
      </c>
      <c r="C77" s="101">
        <v>0.08</v>
      </c>
      <c r="D77" s="94">
        <f>C77*(D51+D62)</f>
        <v>142.7403552</v>
      </c>
    </row>
    <row r="78" ht="15.25" spans="1:4">
      <c r="A78" s="102" t="s">
        <v>100</v>
      </c>
      <c r="B78" s="103"/>
      <c r="C78" s="104">
        <f>SUM(C70:C77)</f>
        <v>0.358</v>
      </c>
      <c r="D78" s="105">
        <f>SUM(D70:D77)</f>
        <v>638.76308952</v>
      </c>
    </row>
    <row r="79" spans="1:4">
      <c r="A79" s="106" t="s">
        <v>195</v>
      </c>
      <c r="B79" s="106"/>
      <c r="C79" s="106"/>
      <c r="D79" s="106"/>
    </row>
    <row r="80" spans="1:4">
      <c r="A80" s="107" t="s">
        <v>121</v>
      </c>
      <c r="B80" s="107"/>
      <c r="C80" s="107"/>
      <c r="D80" s="107"/>
    </row>
    <row r="81" spans="1:4">
      <c r="A81" s="45" t="s">
        <v>196</v>
      </c>
      <c r="B81" s="45"/>
      <c r="C81" s="45"/>
      <c r="D81" s="45"/>
    </row>
    <row r="82" spans="1:4">
      <c r="A82" s="47"/>
      <c r="B82" s="47"/>
      <c r="C82" s="47"/>
      <c r="D82" s="47"/>
    </row>
    <row r="83" ht="15.25" spans="1:4">
      <c r="A83" s="28" t="s">
        <v>123</v>
      </c>
      <c r="B83" s="89"/>
      <c r="C83" s="89"/>
      <c r="D83" s="89"/>
    </row>
    <row r="84" ht="15.25" spans="1:4">
      <c r="A84" s="49" t="s">
        <v>124</v>
      </c>
      <c r="B84" s="108" t="s">
        <v>125</v>
      </c>
      <c r="C84" s="109"/>
      <c r="D84" s="50" t="s">
        <v>89</v>
      </c>
    </row>
    <row r="85" spans="1:4">
      <c r="A85" s="51" t="s">
        <v>57</v>
      </c>
      <c r="B85" s="110" t="s">
        <v>126</v>
      </c>
      <c r="C85" s="110"/>
      <c r="D85" s="111">
        <f>(2*24.7143*3.45)-(D48*6%)</f>
        <v>80.89767</v>
      </c>
    </row>
    <row r="86" spans="1:4">
      <c r="A86" s="112" t="s">
        <v>59</v>
      </c>
      <c r="B86" s="92" t="s">
        <v>197</v>
      </c>
      <c r="C86" s="92"/>
      <c r="D86" s="113">
        <f>15*22</f>
        <v>330</v>
      </c>
    </row>
    <row r="87" spans="1:4">
      <c r="A87" s="95" t="s">
        <v>62</v>
      </c>
      <c r="B87" s="40" t="s">
        <v>198</v>
      </c>
      <c r="C87" s="40"/>
      <c r="D87" s="114">
        <v>3</v>
      </c>
    </row>
    <row r="88" ht="15.25" spans="1:4">
      <c r="A88" s="99" t="s">
        <v>64</v>
      </c>
      <c r="B88" s="100" t="s">
        <v>199</v>
      </c>
      <c r="C88" s="100"/>
      <c r="D88" s="115">
        <v>4</v>
      </c>
    </row>
    <row r="89" ht="15.25" spans="1:4">
      <c r="A89" s="49" t="s">
        <v>100</v>
      </c>
      <c r="B89" s="116"/>
      <c r="C89" s="50"/>
      <c r="D89" s="105">
        <f>SUM(D85:D88)</f>
        <v>417.89767</v>
      </c>
    </row>
    <row r="90" spans="1:4">
      <c r="A90" s="117"/>
      <c r="B90" s="117"/>
      <c r="C90" s="117"/>
      <c r="D90" s="86"/>
    </row>
    <row r="91" spans="1:4">
      <c r="A91" s="87" t="s">
        <v>130</v>
      </c>
      <c r="B91" s="87"/>
      <c r="C91" s="87"/>
      <c r="D91" s="87"/>
    </row>
    <row r="92" spans="1:4">
      <c r="A92" s="87"/>
      <c r="B92" s="87"/>
      <c r="C92" s="87"/>
      <c r="D92" s="87"/>
    </row>
    <row r="93" spans="1:4">
      <c r="A93" s="118" t="s">
        <v>131</v>
      </c>
      <c r="B93" s="118"/>
      <c r="C93" s="118"/>
      <c r="D93" s="118"/>
    </row>
    <row r="94" spans="1:4">
      <c r="A94" s="45"/>
      <c r="B94" s="45"/>
      <c r="C94" s="45"/>
      <c r="D94" s="45"/>
    </row>
    <row r="95" spans="1:4">
      <c r="A95" s="16" t="s">
        <v>132</v>
      </c>
      <c r="B95" s="16"/>
      <c r="C95" s="16"/>
      <c r="D95" s="16"/>
    </row>
    <row r="96" ht="15.25" spans="1:4">
      <c r="A96" s="47"/>
      <c r="B96" s="47"/>
      <c r="C96" s="47"/>
      <c r="D96" s="47"/>
    </row>
    <row r="97" ht="15.25" spans="1:4">
      <c r="A97" s="48">
        <v>2</v>
      </c>
      <c r="B97" s="108" t="s">
        <v>133</v>
      </c>
      <c r="C97" s="109"/>
      <c r="D97" s="48" t="s">
        <v>89</v>
      </c>
    </row>
    <row r="98" spans="1:4">
      <c r="A98" s="112" t="s">
        <v>96</v>
      </c>
      <c r="B98" s="119" t="s">
        <v>134</v>
      </c>
      <c r="C98" s="120"/>
      <c r="D98" s="113">
        <f>D62</f>
        <v>290.40444</v>
      </c>
    </row>
    <row r="99" spans="1:4">
      <c r="A99" s="112" t="s">
        <v>105</v>
      </c>
      <c r="B99" s="37" t="s">
        <v>106</v>
      </c>
      <c r="C99" s="38"/>
      <c r="D99" s="113">
        <f>D78</f>
        <v>638.76308952</v>
      </c>
    </row>
    <row r="100" ht="15.25" spans="1:4">
      <c r="A100" s="99" t="s">
        <v>124</v>
      </c>
      <c r="B100" s="121" t="s">
        <v>135</v>
      </c>
      <c r="C100" s="122"/>
      <c r="D100" s="115">
        <f>D89</f>
        <v>417.89767</v>
      </c>
    </row>
    <row r="101" ht="15.25" spans="1:4">
      <c r="A101" s="59" t="s">
        <v>100</v>
      </c>
      <c r="B101" s="60"/>
      <c r="C101" s="61"/>
      <c r="D101" s="105">
        <f>SUM(D98:D100)</f>
        <v>1347.06519952</v>
      </c>
    </row>
    <row r="102" spans="1:4">
      <c r="A102" s="123"/>
      <c r="B102" s="123"/>
      <c r="C102" s="123"/>
      <c r="D102" s="123"/>
    </row>
    <row r="103" ht="15.25" spans="1:4">
      <c r="A103" s="124" t="s">
        <v>200</v>
      </c>
      <c r="B103" s="124"/>
      <c r="C103" s="124"/>
      <c r="D103" s="124"/>
    </row>
    <row r="104" ht="15.25" spans="1:4">
      <c r="A104" s="71">
        <v>3</v>
      </c>
      <c r="B104" s="125" t="s">
        <v>137</v>
      </c>
      <c r="C104" s="74"/>
      <c r="D104" s="71" t="s">
        <v>89</v>
      </c>
    </row>
    <row r="105" spans="1:4">
      <c r="A105" s="126" t="s">
        <v>57</v>
      </c>
      <c r="B105" s="76" t="s">
        <v>138</v>
      </c>
      <c r="C105" s="76"/>
      <c r="D105" s="127">
        <f>0.75%*D51</f>
        <v>11.203875</v>
      </c>
    </row>
    <row r="106" spans="1:4">
      <c r="A106" s="128" t="s">
        <v>59</v>
      </c>
      <c r="B106" s="129" t="s">
        <v>139</v>
      </c>
      <c r="C106" s="129"/>
      <c r="D106" s="130">
        <f>0.06%*D51</f>
        <v>0.89631</v>
      </c>
    </row>
    <row r="107" spans="1:4">
      <c r="A107" s="128" t="s">
        <v>62</v>
      </c>
      <c r="B107" s="129" t="s">
        <v>140</v>
      </c>
      <c r="C107" s="129"/>
      <c r="D107" s="130">
        <f>3.44%*D51</f>
        <v>51.38844</v>
      </c>
    </row>
    <row r="108" spans="1:4">
      <c r="A108" s="128" t="s">
        <v>64</v>
      </c>
      <c r="B108" s="129" t="s">
        <v>141</v>
      </c>
      <c r="C108" s="129"/>
      <c r="D108" s="130">
        <f>(((1/30)*7)/6)*D51+0.02</f>
        <v>58.1141666666667</v>
      </c>
    </row>
    <row r="109" spans="1:4">
      <c r="A109" s="128" t="s">
        <v>112</v>
      </c>
      <c r="B109" s="129" t="s">
        <v>142</v>
      </c>
      <c r="C109" s="129"/>
      <c r="D109" s="130">
        <f>1.39%*D51</f>
        <v>20.764515</v>
      </c>
    </row>
    <row r="110" ht="15.25" spans="1:4">
      <c r="A110" s="131" t="s">
        <v>114</v>
      </c>
      <c r="B110" s="80" t="s">
        <v>143</v>
      </c>
      <c r="C110" s="80"/>
      <c r="D110" s="132">
        <f>0.04%*D51</f>
        <v>0.59754</v>
      </c>
    </row>
    <row r="111" ht="15.25" spans="1:4">
      <c r="A111" s="133" t="s">
        <v>100</v>
      </c>
      <c r="B111" s="134"/>
      <c r="C111" s="135"/>
      <c r="D111" s="136">
        <f>SUM(D105:D110)</f>
        <v>142.964846666667</v>
      </c>
    </row>
    <row r="112" spans="1:4">
      <c r="A112" s="137"/>
      <c r="B112" s="137"/>
      <c r="C112" s="137"/>
      <c r="D112" s="137"/>
    </row>
    <row r="113" spans="1:4">
      <c r="A113" s="124" t="s">
        <v>175</v>
      </c>
      <c r="B113" s="124"/>
      <c r="C113" s="124"/>
      <c r="D113" s="124"/>
    </row>
    <row r="114" spans="1:4">
      <c r="A114" s="138"/>
      <c r="B114" s="138"/>
      <c r="C114" s="138"/>
      <c r="D114" s="138"/>
    </row>
    <row r="115" spans="1:4">
      <c r="A115" s="139" t="s">
        <v>201</v>
      </c>
      <c r="B115" s="139"/>
      <c r="C115" s="139"/>
      <c r="D115" s="139"/>
    </row>
    <row r="116" spans="1:4">
      <c r="A116" s="139"/>
      <c r="B116" s="139"/>
      <c r="C116" s="139"/>
      <c r="D116" s="139"/>
    </row>
    <row r="117" spans="1:4">
      <c r="A117" s="139"/>
      <c r="B117" s="139"/>
      <c r="C117" s="139"/>
      <c r="D117" s="139"/>
    </row>
    <row r="118" spans="1:4">
      <c r="A118" s="139"/>
      <c r="B118" s="139"/>
      <c r="C118" s="139"/>
      <c r="D118" s="139"/>
    </row>
    <row r="119" spans="1:4">
      <c r="A119" s="139"/>
      <c r="B119" s="139"/>
      <c r="C119" s="139"/>
      <c r="D119" s="139"/>
    </row>
    <row r="120" ht="15.25" spans="1:4">
      <c r="A120" s="124" t="s">
        <v>146</v>
      </c>
      <c r="B120" s="124"/>
      <c r="C120" s="124"/>
      <c r="D120" s="124"/>
    </row>
    <row r="121" ht="15.25" spans="1:4">
      <c r="A121" s="71" t="s">
        <v>147</v>
      </c>
      <c r="B121" s="125" t="s">
        <v>148</v>
      </c>
      <c r="C121" s="74"/>
      <c r="D121" s="71" t="s">
        <v>89</v>
      </c>
    </row>
    <row r="122" spans="1:4">
      <c r="A122" s="140" t="s">
        <v>57</v>
      </c>
      <c r="B122" s="76" t="s">
        <v>149</v>
      </c>
      <c r="C122" s="76"/>
      <c r="D122" s="141">
        <f>D51*8.33%</f>
        <v>124.437705</v>
      </c>
    </row>
    <row r="123" spans="1:4">
      <c r="A123" s="142" t="s">
        <v>59</v>
      </c>
      <c r="B123" s="129" t="s">
        <v>150</v>
      </c>
      <c r="C123" s="129"/>
      <c r="D123" s="143">
        <f>0.82%*D51</f>
        <v>12.24957</v>
      </c>
    </row>
    <row r="124" spans="1:4">
      <c r="A124" s="142" t="s">
        <v>62</v>
      </c>
      <c r="B124" s="129" t="s">
        <v>151</v>
      </c>
      <c r="C124" s="129"/>
      <c r="D124" s="143">
        <f>0.02%*D51</f>
        <v>0.29877</v>
      </c>
    </row>
    <row r="125" spans="1:4">
      <c r="A125" s="142" t="s">
        <v>64</v>
      </c>
      <c r="B125" s="129" t="s">
        <v>152</v>
      </c>
      <c r="C125" s="129"/>
      <c r="D125" s="143">
        <f>0.13%*D51</f>
        <v>1.942005</v>
      </c>
    </row>
    <row r="126" spans="1:4">
      <c r="A126" s="142" t="s">
        <v>112</v>
      </c>
      <c r="B126" s="129" t="s">
        <v>153</v>
      </c>
      <c r="C126" s="129"/>
      <c r="D126" s="143">
        <f>0.03%*D51</f>
        <v>0.448155</v>
      </c>
    </row>
    <row r="127" ht="15.25" spans="1:4">
      <c r="A127" s="144" t="s">
        <v>114</v>
      </c>
      <c r="B127" s="80" t="s">
        <v>154</v>
      </c>
      <c r="C127" s="80"/>
      <c r="D127" s="141">
        <f>$D$51*C127</f>
        <v>0</v>
      </c>
    </row>
    <row r="128" ht="15.25" spans="1:4">
      <c r="A128" s="133" t="s">
        <v>100</v>
      </c>
      <c r="B128" s="134"/>
      <c r="C128" s="135"/>
      <c r="D128" s="84">
        <f>SUM(D122:D127)</f>
        <v>139.376205</v>
      </c>
    </row>
    <row r="129" spans="1:4">
      <c r="A129" s="145"/>
      <c r="B129" s="145"/>
      <c r="C129" s="145"/>
      <c r="D129" s="145"/>
    </row>
    <row r="130" spans="1:4">
      <c r="A130" s="146"/>
      <c r="B130" s="147"/>
      <c r="C130" s="147"/>
      <c r="D130" s="148"/>
    </row>
    <row r="131" ht="15.25" spans="1:4">
      <c r="A131" s="124" t="s">
        <v>155</v>
      </c>
      <c r="B131" s="124"/>
      <c r="C131" s="124"/>
      <c r="D131" s="124"/>
    </row>
    <row r="132" spans="1:4">
      <c r="A132" s="149">
        <v>5</v>
      </c>
      <c r="B132" s="150" t="s">
        <v>156</v>
      </c>
      <c r="C132" s="151"/>
      <c r="D132" s="152" t="s">
        <v>89</v>
      </c>
    </row>
    <row r="133" spans="1:4">
      <c r="A133" s="19" t="s">
        <v>57</v>
      </c>
      <c r="B133" s="153" t="s">
        <v>157</v>
      </c>
      <c r="C133" s="153">
        <v>0.0004</v>
      </c>
      <c r="D133" s="154">
        <v>100</v>
      </c>
    </row>
    <row r="134" spans="1:4">
      <c r="A134" s="19" t="s">
        <v>59</v>
      </c>
      <c r="B134" s="153" t="s">
        <v>202</v>
      </c>
      <c r="C134" s="153">
        <v>0.0004</v>
      </c>
      <c r="D134" s="154">
        <f>'[1]INSUMOS  OP MAQ '!I26</f>
        <v>0</v>
      </c>
    </row>
    <row r="135" ht="15.25" spans="1:4">
      <c r="A135" s="19" t="s">
        <v>62</v>
      </c>
      <c r="B135" s="153" t="s">
        <v>158</v>
      </c>
      <c r="C135" s="153" t="e">
        <f>C133*#REF!</f>
        <v>#REF!</v>
      </c>
      <c r="D135" s="154"/>
    </row>
    <row r="136" ht="15.25" spans="1:4">
      <c r="A136" s="59" t="s">
        <v>100</v>
      </c>
      <c r="B136" s="60"/>
      <c r="C136" s="61"/>
      <c r="D136" s="155">
        <f>SUM(D133:D135)</f>
        <v>100</v>
      </c>
    </row>
    <row r="137" spans="1:4">
      <c r="A137" s="156"/>
      <c r="B137" s="156"/>
      <c r="C137" s="156"/>
      <c r="D137" s="2"/>
    </row>
    <row r="138" spans="1:4">
      <c r="A138" s="27" t="s">
        <v>159</v>
      </c>
      <c r="B138" s="157"/>
      <c r="C138" s="147"/>
      <c r="D138" s="158"/>
    </row>
    <row r="139" spans="1:4">
      <c r="A139" s="145"/>
      <c r="B139" s="157"/>
      <c r="C139" s="147"/>
      <c r="D139" s="158"/>
    </row>
    <row r="140" ht="15.25" spans="1:4">
      <c r="A140" s="124" t="s">
        <v>160</v>
      </c>
      <c r="B140" s="124"/>
      <c r="C140" s="124"/>
      <c r="D140" s="124"/>
    </row>
    <row r="141" ht="15.25" spans="1:4">
      <c r="A141" s="49">
        <v>6</v>
      </c>
      <c r="B141" s="48" t="s">
        <v>161</v>
      </c>
      <c r="C141" s="48" t="s">
        <v>107</v>
      </c>
      <c r="D141" s="48" t="s">
        <v>89</v>
      </c>
    </row>
    <row r="142" spans="1:4">
      <c r="A142" s="159" t="s">
        <v>57</v>
      </c>
      <c r="B142" s="160" t="s">
        <v>162</v>
      </c>
      <c r="C142" s="161">
        <v>0.03</v>
      </c>
      <c r="D142" s="162">
        <f>(D51+D101+D111+D128+D136)*C142</f>
        <v>96.6976875356</v>
      </c>
    </row>
    <row r="143" spans="1:4">
      <c r="A143" s="163" t="s">
        <v>59</v>
      </c>
      <c r="B143" s="164" t="s">
        <v>163</v>
      </c>
      <c r="C143" s="161">
        <v>0.0325</v>
      </c>
      <c r="D143" s="162">
        <f>(D51+D101+D111+D128+D136)*C143</f>
        <v>104.755828163567</v>
      </c>
    </row>
    <row r="144" spans="1:4">
      <c r="A144" s="163" t="s">
        <v>62</v>
      </c>
      <c r="B144" s="164" t="s">
        <v>164</v>
      </c>
      <c r="C144" s="165">
        <f>SUM(C145:C147)</f>
        <v>0.1425</v>
      </c>
      <c r="D144" s="162" t="s">
        <v>39</v>
      </c>
    </row>
    <row r="145" spans="1:4">
      <c r="A145" s="163"/>
      <c r="B145" s="166" t="s">
        <v>165</v>
      </c>
      <c r="C145" s="161">
        <v>0.0925</v>
      </c>
      <c r="D145" s="162">
        <f>ROUND((D142+D143+D161)/(1-C144)*C145,2)</f>
        <v>369.43</v>
      </c>
    </row>
    <row r="146" spans="1:4">
      <c r="A146" s="163"/>
      <c r="B146" s="40" t="s">
        <v>166</v>
      </c>
      <c r="C146" s="167"/>
      <c r="D146" s="162"/>
    </row>
    <row r="147" ht="15.25" spans="1:4">
      <c r="A147" s="168"/>
      <c r="B147" s="40" t="s">
        <v>167</v>
      </c>
      <c r="C147" s="169">
        <v>0.05</v>
      </c>
      <c r="D147" s="170">
        <f>ROUND((D142+D143+D161)/(1-C144)*C147,2)</f>
        <v>199.69</v>
      </c>
    </row>
    <row r="148" ht="15.25" spans="1:4">
      <c r="A148" s="59" t="s">
        <v>17</v>
      </c>
      <c r="B148" s="60"/>
      <c r="C148" s="171">
        <f>SUM(C142:C144)</f>
        <v>0.205</v>
      </c>
      <c r="D148" s="172">
        <f>SUM(D142:D147)+0.01</f>
        <v>770.583515699167</v>
      </c>
    </row>
    <row r="149" spans="1:4">
      <c r="A149" s="173"/>
      <c r="B149" s="173"/>
      <c r="C149" s="174"/>
      <c r="D149" s="86"/>
    </row>
    <row r="150" spans="1:4">
      <c r="A150" s="175" t="s">
        <v>168</v>
      </c>
      <c r="B150" s="175"/>
      <c r="C150" s="175"/>
      <c r="D150" s="175"/>
    </row>
    <row r="151" spans="1:4">
      <c r="A151" s="175"/>
      <c r="B151" s="175"/>
      <c r="C151" s="175"/>
      <c r="D151" s="175"/>
    </row>
    <row r="152" spans="1:4">
      <c r="A152" s="175" t="s">
        <v>169</v>
      </c>
      <c r="B152" s="175"/>
      <c r="C152" s="175"/>
      <c r="D152" s="175"/>
    </row>
    <row r="153" spans="1:4">
      <c r="A153" s="145"/>
      <c r="B153" s="145"/>
      <c r="C153" s="146"/>
      <c r="D153" s="145"/>
    </row>
    <row r="154" ht="15.25" spans="1:4">
      <c r="A154" s="124" t="s">
        <v>203</v>
      </c>
      <c r="B154" s="124"/>
      <c r="C154" s="124"/>
      <c r="D154" s="124"/>
    </row>
    <row r="155" ht="15.25" spans="1:4">
      <c r="A155" s="48"/>
      <c r="B155" s="176" t="s">
        <v>171</v>
      </c>
      <c r="C155" s="177"/>
      <c r="D155" s="48" t="s">
        <v>89</v>
      </c>
    </row>
    <row r="156" spans="1:4">
      <c r="A156" s="178" t="s">
        <v>57</v>
      </c>
      <c r="B156" s="179" t="s">
        <v>172</v>
      </c>
      <c r="C156" s="180"/>
      <c r="D156" s="111">
        <f>D51</f>
        <v>1493.85</v>
      </c>
    </row>
    <row r="157" spans="1:4">
      <c r="A157" s="181" t="s">
        <v>59</v>
      </c>
      <c r="B157" s="182" t="s">
        <v>173</v>
      </c>
      <c r="C157" s="183"/>
      <c r="D157" s="184">
        <f>D101</f>
        <v>1347.06519952</v>
      </c>
    </row>
    <row r="158" spans="1:4">
      <c r="A158" s="181" t="s">
        <v>62</v>
      </c>
      <c r="B158" s="185" t="s">
        <v>174</v>
      </c>
      <c r="C158" s="186"/>
      <c r="D158" s="184">
        <f>D111</f>
        <v>142.964846666667</v>
      </c>
    </row>
    <row r="159" spans="1:4">
      <c r="A159" s="181" t="s">
        <v>64</v>
      </c>
      <c r="B159" s="187" t="s">
        <v>175</v>
      </c>
      <c r="C159" s="188"/>
      <c r="D159" s="189">
        <f>D128</f>
        <v>139.376205</v>
      </c>
    </row>
    <row r="160" spans="1:4">
      <c r="A160" s="190" t="s">
        <v>112</v>
      </c>
      <c r="B160" s="191" t="s">
        <v>176</v>
      </c>
      <c r="C160" s="192"/>
      <c r="D160" s="193">
        <f>D136</f>
        <v>100</v>
      </c>
    </row>
    <row r="161" spans="1:4">
      <c r="A161" s="194" t="s">
        <v>177</v>
      </c>
      <c r="B161" s="195"/>
      <c r="C161" s="196"/>
      <c r="D161" s="193">
        <f>SUM(D156:D160)</f>
        <v>3223.25625118667</v>
      </c>
    </row>
    <row r="162" ht="15.25" spans="1:4">
      <c r="A162" s="197" t="s">
        <v>114</v>
      </c>
      <c r="B162" s="198" t="s">
        <v>178</v>
      </c>
      <c r="C162" s="199"/>
      <c r="D162" s="200">
        <f>D148</f>
        <v>770.583515699167</v>
      </c>
    </row>
    <row r="163" ht="15.25" spans="1:4">
      <c r="A163" s="59" t="s">
        <v>179</v>
      </c>
      <c r="B163" s="60"/>
      <c r="C163" s="61"/>
      <c r="D163" s="201">
        <f>SUM(D161:D162)</f>
        <v>3993.83976688583</v>
      </c>
    </row>
  </sheetData>
  <mergeCells count="104">
    <mergeCell ref="A1:D1"/>
    <mergeCell ref="A3:D3"/>
    <mergeCell ref="A5:D5"/>
    <mergeCell ref="A6:D6"/>
    <mergeCell ref="A7:D7"/>
    <mergeCell ref="A8:D8"/>
    <mergeCell ref="A10:D10"/>
    <mergeCell ref="B12:C12"/>
    <mergeCell ref="B13:C13"/>
    <mergeCell ref="B14:C14"/>
    <mergeCell ref="B15:C15"/>
    <mergeCell ref="A18:D18"/>
    <mergeCell ref="A20:B20"/>
    <mergeCell ref="A21:B21"/>
    <mergeCell ref="A23:D23"/>
    <mergeCell ref="A25:D25"/>
    <mergeCell ref="A27:D27"/>
    <mergeCell ref="A33:C33"/>
    <mergeCell ref="A34:D34"/>
    <mergeCell ref="B35:C35"/>
    <mergeCell ref="B36:C36"/>
    <mergeCell ref="B37:C37"/>
    <mergeCell ref="B38:C38"/>
    <mergeCell ref="B39:C39"/>
    <mergeCell ref="A41:C41"/>
    <mergeCell ref="A45:D45"/>
    <mergeCell ref="B47:C47"/>
    <mergeCell ref="B48:C48"/>
    <mergeCell ref="B49:C49"/>
    <mergeCell ref="B50:C50"/>
    <mergeCell ref="A51:C51"/>
    <mergeCell ref="A53:D53"/>
    <mergeCell ref="A55:D55"/>
    <mergeCell ref="A57:D57"/>
    <mergeCell ref="B58:C58"/>
    <mergeCell ref="B59:C59"/>
    <mergeCell ref="B61:C61"/>
    <mergeCell ref="A62:C62"/>
    <mergeCell ref="A64:D64"/>
    <mergeCell ref="A65:D65"/>
    <mergeCell ref="A66:D66"/>
    <mergeCell ref="A68:D68"/>
    <mergeCell ref="A78:B78"/>
    <mergeCell ref="A79:D79"/>
    <mergeCell ref="A80:D80"/>
    <mergeCell ref="A81:D81"/>
    <mergeCell ref="A83:D83"/>
    <mergeCell ref="B84:C84"/>
    <mergeCell ref="B85:C85"/>
    <mergeCell ref="B86:C86"/>
    <mergeCell ref="B87:C87"/>
    <mergeCell ref="B88:C88"/>
    <mergeCell ref="A89:C89"/>
    <mergeCell ref="A91:D91"/>
    <mergeCell ref="A93:D93"/>
    <mergeCell ref="A95:D95"/>
    <mergeCell ref="A96:D96"/>
    <mergeCell ref="B97:C97"/>
    <mergeCell ref="B98:C98"/>
    <mergeCell ref="B99:C99"/>
    <mergeCell ref="B100:C100"/>
    <mergeCell ref="A101:C101"/>
    <mergeCell ref="A102:D102"/>
    <mergeCell ref="A103:D103"/>
    <mergeCell ref="B104:C104"/>
    <mergeCell ref="B105:C105"/>
    <mergeCell ref="B106:C106"/>
    <mergeCell ref="B107:C107"/>
    <mergeCell ref="B108:C108"/>
    <mergeCell ref="B109:C109"/>
    <mergeCell ref="B110:C110"/>
    <mergeCell ref="A111:C111"/>
    <mergeCell ref="A112:D112"/>
    <mergeCell ref="A113:D113"/>
    <mergeCell ref="A118:D118"/>
    <mergeCell ref="A120:D120"/>
    <mergeCell ref="B121:C121"/>
    <mergeCell ref="B122:C122"/>
    <mergeCell ref="B123:C123"/>
    <mergeCell ref="B124:C124"/>
    <mergeCell ref="B125:C125"/>
    <mergeCell ref="B126:C126"/>
    <mergeCell ref="B127:C127"/>
    <mergeCell ref="A128:C128"/>
    <mergeCell ref="A131:D131"/>
    <mergeCell ref="B133:C133"/>
    <mergeCell ref="B134:C134"/>
    <mergeCell ref="B135:C135"/>
    <mergeCell ref="A136:C136"/>
    <mergeCell ref="A140:D140"/>
    <mergeCell ref="A148:B148"/>
    <mergeCell ref="A150:D150"/>
    <mergeCell ref="A152:D152"/>
    <mergeCell ref="A154:D154"/>
    <mergeCell ref="B155:C155"/>
    <mergeCell ref="B156:C156"/>
    <mergeCell ref="B157:C157"/>
    <mergeCell ref="B158:C158"/>
    <mergeCell ref="B159:C159"/>
    <mergeCell ref="B160:C160"/>
    <mergeCell ref="A161:C161"/>
    <mergeCell ref="B162:C162"/>
    <mergeCell ref="A163:C163"/>
    <mergeCell ref="A115:D116"/>
  </mergeCells>
  <pageMargins left="0.511811023622047" right="0.511811023622047" top="1.42666666666667" bottom="0.78740157480315" header="0.31496062992126" footer="0.31496062992126"/>
  <pageSetup paperSize="9" scale="53" orientation="portrait"/>
  <headerFooter>
    <oddHeader>&amp;C&amp;G</oddHeader>
    <oddFooter>&amp;C&amp;G</oddFooter>
  </headerFooter>
  <rowBreaks count="2" manualBreakCount="2">
    <brk id="66" max="16383" man="1"/>
    <brk id="128" max="4" man="1"/>
  </row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Fato gerador</vt:lpstr>
      <vt:lpstr>Acumulado</vt:lpstr>
      <vt:lpstr>Pagamentos</vt:lpstr>
      <vt:lpstr>PROPOSTA</vt:lpstr>
      <vt:lpstr>ENCARREGADO</vt:lpstr>
      <vt:lpstr>SERVENTE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Falcão</dc:creator>
  <cp:lastModifiedBy>maril</cp:lastModifiedBy>
  <dcterms:created xsi:type="dcterms:W3CDTF">2013-02-01T11:04:00Z</dcterms:created>
  <cp:lastPrinted>2021-03-12T17:30:00Z</cp:lastPrinted>
  <dcterms:modified xsi:type="dcterms:W3CDTF">2021-09-22T17:46:40Z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EF8BD2EC5FDD465D86793E1BFC798533</vt:lpwstr>
  </property>
  <property fmtid="{D5CDD505-2E9C-101B-9397-08002B2CF9AE}" pid="3" name="KSOProductBuildVer">
    <vt:lpwstr>1046-11.2.0.10296</vt:lpwstr>
  </property>
</Properties>
</file>